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600" windowHeight="8865" activeTab="0"/>
  </bookViews>
  <sheets>
    <sheet name="夫婦間" sheetId="1" r:id="rId1"/>
    <sheet name="テキスト" sheetId="2" state="hidden" r:id="rId2"/>
    <sheet name="婚前契約" sheetId="3" r:id="rId3"/>
    <sheet name="手数料夫婦間" sheetId="4" r:id="rId4"/>
    <sheet name="夫婦間書類" sheetId="5" r:id="rId5"/>
    <sheet name="手数料離婚" sheetId="6" r:id="rId6"/>
    <sheet name="離婚手数料概要" sheetId="7" r:id="rId7"/>
    <sheet name="養育費計算機" sheetId="8" r:id="rId8"/>
    <sheet name="退職金ライプニッツ" sheetId="9" r:id="rId9"/>
    <sheet name="養育費支払予定表" sheetId="10" r:id="rId10"/>
    <sheet name="婚費計算書" sheetId="11" r:id="rId11"/>
    <sheet name="手数料" sheetId="12" r:id="rId12"/>
    <sheet name="婚費①子なし" sheetId="13" state="hidden" r:id="rId13"/>
    <sheet name="養育費表" sheetId="14" state="hidden" r:id="rId14"/>
    <sheet name="離婚" sheetId="15" r:id="rId15"/>
    <sheet name="離婚2" sheetId="16" r:id="rId16"/>
    <sheet name="離婚1&amp;2" sheetId="17" r:id="rId17"/>
    <sheet name="共有財産目録" sheetId="18" r:id="rId18"/>
    <sheet name="養育費" sheetId="19" r:id="rId19"/>
    <sheet name="認証書類" sheetId="20" r:id="rId20"/>
    <sheet name="贈与税" sheetId="21" r:id="rId21"/>
    <sheet name="離婚書類" sheetId="22" r:id="rId22"/>
    <sheet name="養育費書類" sheetId="23" r:id="rId23"/>
    <sheet name="財産目録" sheetId="24" r:id="rId24"/>
    <sheet name="Sheet5" sheetId="25" r:id="rId25"/>
    <sheet name="Sheet6" sheetId="26" r:id="rId26"/>
  </sheets>
  <externalReferences>
    <externalReference r:id="rId29"/>
  </externalReferences>
  <definedNames>
    <definedName name="_xlfn.SHEET" hidden="1">#NAME?</definedName>
    <definedName name="_xlfn.SHEETS" hidden="1">#NAME?</definedName>
    <definedName name="_xlfn.SINGLE" hidden="1">#NAME?</definedName>
    <definedName name="_xlnm.Print_Area" localSheetId="17">'共有財産目録'!$A$1:$AE$64</definedName>
    <definedName name="_xlnm.Print_Area" localSheetId="2">'婚前契約'!$A$1:$L$52</definedName>
    <definedName name="_xlnm.Print_Area" localSheetId="10">'婚費計算書'!$A$1:$I$28</definedName>
    <definedName name="_xlnm.Print_Area" localSheetId="11">'手数料'!$B$3:$C$13</definedName>
    <definedName name="_xlnm.Print_Area" localSheetId="3">'手数料夫婦間'!$A$1:$M$57</definedName>
    <definedName name="_xlnm.Print_Area" localSheetId="5">'手数料離婚'!$A$1:$M$57</definedName>
    <definedName name="_xlnm.Print_Area" localSheetId="20">'贈与税'!$A$1:$H$28</definedName>
    <definedName name="_xlnm.Print_Area" localSheetId="8">'退職金ライプニッツ'!$B$1:$I$39</definedName>
    <definedName name="_xlnm.Print_Area" localSheetId="19">'認証書類'!$B$2:$D$23</definedName>
    <definedName name="_xlnm.Print_Area" localSheetId="0">'夫婦間'!$B$1:$N$38</definedName>
    <definedName name="_xlnm.Print_Area" localSheetId="4">'夫婦間書類'!$B$2:$D$11</definedName>
    <definedName name="_xlnm.Print_Area" localSheetId="18">'養育費'!$A$1:$L$40</definedName>
    <definedName name="_xlnm.Print_Area" localSheetId="7">'養育費計算機'!$A$1:$G$18</definedName>
    <definedName name="_xlnm.Print_Area" localSheetId="9">'養育費支払予定表'!$F$2:$S$505</definedName>
    <definedName name="_xlnm.Print_Area" localSheetId="22">'養育費書類'!$B$2:$D$15</definedName>
    <definedName name="_xlnm.Print_Area" localSheetId="13">'養育費表'!$A$1:$AS$86</definedName>
    <definedName name="_xlnm.Print_Area" localSheetId="14">'離婚'!$A$1:$L$39</definedName>
    <definedName name="_xlnm.Print_Area" localSheetId="16">'離婚1&amp;2'!$A$1:$X$39</definedName>
    <definedName name="_xlnm.Print_Area" localSheetId="15">'離婚2'!$A$1:$X$39</definedName>
    <definedName name="_xlnm.Print_Area" localSheetId="21">'離婚書類'!$B$2:$D$25</definedName>
    <definedName name="_xlnm.Print_Titles" localSheetId="9">'養育費支払予定表'!$B:$D,'養育費支払予定表'!$2:$4</definedName>
    <definedName name="リスト" localSheetId="2">#REF!</definedName>
    <definedName name="リスト" localSheetId="0">#REF!</definedName>
    <definedName name="リスト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３：年金受給者
４：無職
</t>
        </r>
      </text>
    </comment>
    <comment ref="F4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３：年金受給者
４：無職
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３：無職
</t>
        </r>
      </text>
    </comment>
    <comment ref="D7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３：無職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３：年金受給者
４：無職
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３：年金受給者
４：無職
</t>
        </r>
      </text>
    </comment>
  </commentList>
</comments>
</file>

<file path=xl/sharedStrings.xml><?xml version="1.0" encoding="utf-8"?>
<sst xmlns="http://schemas.openxmlformats.org/spreadsheetml/2006/main" count="1432" uniqueCount="537">
  <si>
    <t>離婚給付契約公正証書</t>
  </si>
  <si>
    <t>公証人手数料計算書（概算）</t>
  </si>
  <si>
    <t>養育費</t>
  </si>
  <si>
    <t>月額</t>
  </si>
  <si>
    <t>回数</t>
  </si>
  <si>
    <t>総額</t>
  </si>
  <si>
    <t>算定不能</t>
  </si>
  <si>
    <t>なし</t>
  </si>
  <si>
    <t>価額</t>
  </si>
  <si>
    <t>手数料</t>
  </si>
  <si>
    <t>慰謝料</t>
  </si>
  <si>
    <t>財産分与</t>
  </si>
  <si>
    <t>不動産</t>
  </si>
  <si>
    <t>評価額</t>
  </si>
  <si>
    <t>取得割合</t>
  </si>
  <si>
    <t>分の</t>
  </si>
  <si>
    <t>年金分割</t>
  </si>
  <si>
    <t>送達費用</t>
  </si>
  <si>
    <t>合計</t>
  </si>
  <si>
    <t>価額</t>
  </si>
  <si>
    <t>手数料</t>
  </si>
  <si>
    <t>以下の白地の欄に、ご記入下さい。</t>
  </si>
  <si>
    <t>義務者とは、養育費を支払う方のことをいいます。</t>
  </si>
  <si>
    <t>↓</t>
  </si>
  <si>
    <t>義務者の収入区分</t>
  </si>
  <si>
    <t>計算結果</t>
  </si>
  <si>
    <t>義務者の税込年収</t>
  </si>
  <si>
    <t>権利者の収入区分</t>
  </si>
  <si>
    <t>権利者の税込年収</t>
  </si>
  <si>
    <t>子供の年齢</t>
  </si>
  <si>
    <t>義務者の基礎収入A</t>
  </si>
  <si>
    <t>婚姻費用の分担月額</t>
  </si>
  <si>
    <t>義務者の基礎収入B</t>
  </si>
  <si>
    <t>権利者の基礎収入A</t>
  </si>
  <si>
    <t>権利者の基礎収入B</t>
  </si>
  <si>
    <t>子供の生活費の係数</t>
  </si>
  <si>
    <t>養育費の月額</t>
  </si>
  <si>
    <t>子供の生活費A</t>
  </si>
  <si>
    <t>子供の生活費B</t>
  </si>
  <si>
    <t>養育費A</t>
  </si>
  <si>
    <t>養育費B</t>
  </si>
  <si>
    <t>（目的の価額）</t>
  </si>
  <si>
    <t>（手数料）</t>
  </si>
  <si>
    <t>目的の価額</t>
  </si>
  <si>
    <t>手　数　料</t>
  </si>
  <si>
    <t>　　１００万円まで</t>
  </si>
  <si>
    <t>　　２００万円まで</t>
  </si>
  <si>
    <t>　　５００万円まで</t>
  </si>
  <si>
    <t>１，０００万円まで</t>
  </si>
  <si>
    <t>３，０００万円まで</t>
  </si>
  <si>
    <t>５，０００万円まで</t>
  </si>
  <si>
    <t>　　　　１億円まで</t>
  </si>
  <si>
    <t>　3億円まで、5千万円ごと13,000円加算</t>
  </si>
  <si>
    <t>１０億円まで、5千万円ごと11,000円加算</t>
  </si>
  <si>
    <t>１０億円超は、5千万円ごと8,000円加算</t>
  </si>
  <si>
    <t>夫婦のみ</t>
  </si>
  <si>
    <t>子</t>
  </si>
  <si>
    <t>供</t>
  </si>
  <si>
    <t>な</t>
  </si>
  <si>
    <t>し</t>
  </si>
  <si>
    <t>【</t>
  </si>
  <si>
    <t>26～28万円</t>
  </si>
  <si>
    <t>義</t>
  </si>
  <si>
    <t>務</t>
  </si>
  <si>
    <t>者</t>
  </si>
  <si>
    <t>の</t>
  </si>
  <si>
    <t>年</t>
  </si>
  <si>
    <t>24～26万円</t>
  </si>
  <si>
    <t>収</t>
  </si>
  <si>
    <t>／</t>
  </si>
  <si>
    <t>万</t>
  </si>
  <si>
    <t>円</t>
  </si>
  <si>
    <t>】</t>
  </si>
  <si>
    <t>22～24万円</t>
  </si>
  <si>
    <t>20～22万円</t>
  </si>
  <si>
    <t>18～20万円</t>
  </si>
  <si>
    <t>16～18万円</t>
  </si>
  <si>
    <t>14～16万円</t>
  </si>
  <si>
    <t>12～14万円</t>
  </si>
  <si>
    <t>10～12万円</t>
  </si>
  <si>
    <t>8～10万円</t>
  </si>
  <si>
    <t>6～8万円</t>
  </si>
  <si>
    <t>自営</t>
  </si>
  <si>
    <t>給与取得者</t>
  </si>
  <si>
    <t>【</t>
  </si>
  <si>
    <t>権</t>
  </si>
  <si>
    <t>利</t>
  </si>
  <si>
    <t>人</t>
  </si>
  <si>
    <t>（</t>
  </si>
  <si>
    <t>【</t>
  </si>
  <si>
    <t>有り・無し</t>
  </si>
  <si>
    <t>一括・分割</t>
  </si>
  <si>
    <t>種類</t>
  </si>
  <si>
    <t>不動産</t>
  </si>
  <si>
    <t>自動車</t>
  </si>
  <si>
    <t>預貯金</t>
  </si>
  <si>
    <t>生命保険</t>
  </si>
  <si>
    <t>債務</t>
  </si>
  <si>
    <t>離婚公正証書作成の必要書類</t>
  </si>
  <si>
    <t>ご夫婦</t>
  </si>
  <si>
    <t>印鑑登録証明書　各１通ずつ</t>
  </si>
  <si>
    <t>子ども</t>
  </si>
  <si>
    <t>戸籍謄本　１通</t>
  </si>
  <si>
    <t>不動産登記簿謄本、または登記事項証明書</t>
  </si>
  <si>
    <t>固定資産評価証明書、または固定資産税の納税通知書</t>
  </si>
  <si>
    <t>通帳のコピー、または金融機関発行の残高証明書</t>
  </si>
  <si>
    <t>車検証、査定書。</t>
  </si>
  <si>
    <t>動産</t>
  </si>
  <si>
    <t>債権</t>
  </si>
  <si>
    <t>年金
分割</t>
  </si>
  <si>
    <t>年金手帳のコピー　各１通ずつ</t>
  </si>
  <si>
    <t>※</t>
  </si>
  <si>
    <t>必要
事項</t>
  </si>
  <si>
    <t>・ご夫婦双方の生年月日・職業</t>
  </si>
  <si>
    <t>・お子様の生年月日</t>
  </si>
  <si>
    <t>氏名</t>
  </si>
  <si>
    <t>氏名カナ</t>
  </si>
  <si>
    <t>自
宅</t>
  </si>
  <si>
    <t>〒</t>
  </si>
  <si>
    <t>住所１</t>
  </si>
  <si>
    <t>住所２</t>
  </si>
  <si>
    <t>電話番号</t>
  </si>
  <si>
    <t>生年月日</t>
  </si>
  <si>
    <t>年齢</t>
  </si>
  <si>
    <t>性別</t>
  </si>
  <si>
    <t>職業</t>
  </si>
  <si>
    <t>備考　　　その他定めておきたい事項がございましたらご記入下さい</t>
  </si>
  <si>
    <t>Kkubun</t>
  </si>
  <si>
    <t>Kshunyu</t>
  </si>
  <si>
    <t>GkisoB</t>
  </si>
  <si>
    <t>KkisoA</t>
  </si>
  <si>
    <t>KkisoB</t>
  </si>
  <si>
    <t>CseisetuA</t>
  </si>
  <si>
    <t>CseisetuB</t>
  </si>
  <si>
    <t>youikuhiA</t>
  </si>
  <si>
    <t>youikuhiB</t>
  </si>
  <si>
    <t>Gkubun = inputbox("1：自営業者"&amp;chr(13)&amp;chr(10)&amp;"2：給与取得者"&amp;chr(13)&amp;chr(10)&amp;"3：年金受給者"&amp;chr(13)&amp;chr(10)&amp;"4：無職"&amp;chr(13)&amp;chr(10),"養育費を支払う方の収入形態を選択して下さい。",2)</t>
  </si>
  <si>
    <t>Kkubun = inputbox("1：自営業者"&amp;chr(13)&amp;chr(10)&amp;"2：給与取得者"&amp;chr(13)&amp;chr(10)&amp;"3：年金受給者"&amp;chr(13)&amp;chr(10)&amp;"4：無職"&amp;chr(13)&amp;chr(10),"養育費を受け取る方の収入形態を選択して下さい。",2)</t>
  </si>
  <si>
    <t>VBA</t>
  </si>
  <si>
    <t>Kshunyu = inputbox("養育費を受け取る方の年収を入力してください","養育費を受け取る方の年収を入力",0)</t>
  </si>
  <si>
    <t>Gshunyu = inputbox("養育費を支払う方の年収を入力してください","養育費を支払う方の年収を入力",3000000)</t>
  </si>
  <si>
    <t>CHold</t>
  </si>
  <si>
    <t>CHold = inputbox("お子様の年齢を入力してください","お子様の年齢を入力",0)</t>
  </si>
  <si>
    <t>GkisoA</t>
  </si>
  <si>
    <t>Gkubun</t>
  </si>
  <si>
    <t>Gshunyu</t>
  </si>
  <si>
    <t>if Gkubun = 1 then</t>
  </si>
  <si>
    <t>GkisoA = Gshunyu * 0.47</t>
  </si>
  <si>
    <t>GkisoB = Gshunyu * 0.52</t>
  </si>
  <si>
    <t>end if</t>
  </si>
  <si>
    <t>end if</t>
  </si>
  <si>
    <t>if Gkubun = 2 then</t>
  </si>
  <si>
    <t>GkisoA = Gshunyu * 0.34</t>
  </si>
  <si>
    <t>GkisoB = Gshunyu * 0.42</t>
  </si>
  <si>
    <t>if Gkubun = 3 then</t>
  </si>
  <si>
    <t>GkisoA = Gshunyu /8 * 10 * 0.34</t>
  </si>
  <si>
    <t>GkisoB = Gshunyu /8 * 10 * 0.42</t>
  </si>
  <si>
    <t>end if</t>
  </si>
  <si>
    <t>Ckeisu</t>
  </si>
  <si>
    <t>事業所得者</t>
  </si>
  <si>
    <t>給与所得者</t>
  </si>
  <si>
    <t>～</t>
  </si>
  <si>
    <t>収入区分</t>
  </si>
  <si>
    <t>年収金額</t>
  </si>
  <si>
    <t>0歳～14歳の子供</t>
  </si>
  <si>
    <t>15歳～20歳の子供</t>
  </si>
  <si>
    <t>職業</t>
  </si>
  <si>
    <t>備考</t>
  </si>
  <si>
    <t>※結婚後に夫婦によって形成された資産（離婚成立時に存在する財産）のみをご記入下さい。</t>
  </si>
  <si>
    <t>zm001</t>
  </si>
  <si>
    <t>●財産目録</t>
  </si>
  <si>
    <t>土地</t>
  </si>
  <si>
    <t>（単位：円）</t>
  </si>
  <si>
    <t>番号</t>
  </si>
  <si>
    <t>所　　　　在</t>
  </si>
  <si>
    <t>地番</t>
  </si>
  <si>
    <t>地目</t>
  </si>
  <si>
    <t>面積（㎡）</t>
  </si>
  <si>
    <t>時価</t>
  </si>
  <si>
    <t>持分</t>
  </si>
  <si>
    <t>分の</t>
  </si>
  <si>
    <t>合計</t>
  </si>
  <si>
    <t>建物</t>
  </si>
  <si>
    <t>家屋番号</t>
  </si>
  <si>
    <t>種類</t>
  </si>
  <si>
    <t>床面積（㎡）</t>
  </si>
  <si>
    <t>１F：</t>
  </si>
  <si>
    <t>２F：</t>
  </si>
  <si>
    <t>３F：</t>
  </si>
  <si>
    <t>自動車</t>
  </si>
  <si>
    <t>車名</t>
  </si>
  <si>
    <t>車種</t>
  </si>
  <si>
    <t>形式番号</t>
  </si>
  <si>
    <t>車体番号</t>
  </si>
  <si>
    <t>　</t>
  </si>
  <si>
    <t>預貯金</t>
  </si>
  <si>
    <t>金融機関名・支店名</t>
  </si>
  <si>
    <t>口座番号</t>
  </si>
  <si>
    <t>残高</t>
  </si>
  <si>
    <t>生命保険の解約返戻金等</t>
  </si>
  <si>
    <t>保険会社</t>
  </si>
  <si>
    <t>商品名</t>
  </si>
  <si>
    <t>証券番号</t>
  </si>
  <si>
    <t>返戻金額</t>
  </si>
  <si>
    <t>株、社債、投資信託など</t>
  </si>
  <si>
    <t>名称</t>
  </si>
  <si>
    <t>口数</t>
  </si>
  <si>
    <t>残高</t>
  </si>
  <si>
    <t>　</t>
  </si>
  <si>
    <t>その他（債権・動産等）</t>
  </si>
  <si>
    <t>品目</t>
  </si>
  <si>
    <t>数量</t>
  </si>
  <si>
    <t>金額</t>
  </si>
  <si>
    <t>債務</t>
  </si>
  <si>
    <t>借入先会社名</t>
  </si>
  <si>
    <t>使途</t>
  </si>
  <si>
    <t>担保の有無・内容</t>
  </si>
  <si>
    <t>残高</t>
  </si>
  <si>
    <t>　</t>
  </si>
  <si>
    <t>差引（資産－負債）財産額</t>
  </si>
  <si>
    <t>d4</t>
  </si>
  <si>
    <t>※夫婦間の財産分与や慰謝料に関する定めはシート１、お子様の親権・養育費・面会交流に関する定めはシート２をご利用ください。</t>
  </si>
  <si>
    <t>シート１</t>
  </si>
  <si>
    <t>ご相談者ご本人の内容</t>
  </si>
  <si>
    <t>相手方配偶者の内容</t>
  </si>
  <si>
    <t>お名前</t>
  </si>
  <si>
    <t>お名前カナ</t>
  </si>
  <si>
    <t>ご
自
宅</t>
  </si>
  <si>
    <t>〒</t>
  </si>
  <si>
    <t>ご住所１</t>
  </si>
  <si>
    <t>ご住所２</t>
  </si>
  <si>
    <t>本
籍</t>
  </si>
  <si>
    <t>所在地１</t>
  </si>
  <si>
    <t>所在地２</t>
  </si>
  <si>
    <t>お電話番号</t>
  </si>
  <si>
    <t>ご生年月日</t>
  </si>
  <si>
    <t>ご職業</t>
  </si>
  <si>
    <t>財産分与の定め</t>
  </si>
  <si>
    <t>慰謝料の定め</t>
  </si>
  <si>
    <t>持ち家</t>
  </si>
  <si>
    <t>有無</t>
  </si>
  <si>
    <t>支払う人</t>
  </si>
  <si>
    <t>　名義人：</t>
  </si>
  <si>
    <t>　金　　　　　　　　　　　　　円</t>
  </si>
  <si>
    <t>　住む人：</t>
  </si>
  <si>
    <t>支払方法</t>
  </si>
  <si>
    <t>そ
の
他
の
財
産</t>
  </si>
  <si>
    <t>自動車</t>
  </si>
  <si>
    <t>取得者：</t>
  </si>
  <si>
    <t>　　　年　　　月　　　日から</t>
  </si>
  <si>
    <t>生命保険</t>
  </si>
  <si>
    <t>　　　年　　　月　　　日まで</t>
  </si>
  <si>
    <t>ペット</t>
  </si>
  <si>
    <t>金円</t>
  </si>
  <si>
    <t>回</t>
  </si>
  <si>
    <t>年金分割</t>
  </si>
  <si>
    <t>取得者：</t>
  </si>
  <si>
    <t>支払口座</t>
  </si>
  <si>
    <t>金融機関名：</t>
  </si>
  <si>
    <t>支店名：</t>
  </si>
  <si>
    <t>預金種別：</t>
  </si>
  <si>
    <t>口座番号：</t>
  </si>
  <si>
    <t>口座名義：</t>
  </si>
  <si>
    <t>金
銭
の
分
与</t>
  </si>
  <si>
    <t>有無</t>
  </si>
  <si>
    <t>離婚後扶養の定め</t>
  </si>
  <si>
    <t>支払う人</t>
  </si>
  <si>
    <t>金額</t>
  </si>
  <si>
    <t>支払方法</t>
  </si>
  <si>
    <t>支払
方法</t>
  </si>
  <si>
    <t>金円</t>
  </si>
  <si>
    <t>その他</t>
  </si>
  <si>
    <t>離婚届</t>
  </si>
  <si>
    <t>提出者</t>
  </si>
  <si>
    <t>提出予定日</t>
  </si>
  <si>
    <t>シート２－１</t>
  </si>
  <si>
    <t>シート２－２</t>
  </si>
  <si>
    <t>相手方の内容</t>
  </si>
  <si>
    <t>お名前</t>
  </si>
  <si>
    <t>親権・養育費・面会交流の内容</t>
  </si>
  <si>
    <t xml:space="preserve">
１
人
目</t>
  </si>
  <si>
    <t xml:space="preserve">
２
人
目</t>
  </si>
  <si>
    <t xml:space="preserve">
３
人
目</t>
  </si>
  <si>
    <t xml:space="preserve">
４
人
目</t>
  </si>
  <si>
    <t>親権者</t>
  </si>
  <si>
    <t>監護権者</t>
  </si>
  <si>
    <t>養育費</t>
  </si>
  <si>
    <t>毎月</t>
  </si>
  <si>
    <t>金円</t>
  </si>
  <si>
    <t>支払期</t>
  </si>
  <si>
    <t>進学費用</t>
  </si>
  <si>
    <t>振込
口座</t>
  </si>
  <si>
    <t>面会交流</t>
  </si>
  <si>
    <t>回</t>
  </si>
  <si>
    <t>※夫婦間の財産分与や慰謝料に関する定めはシート１、お子様の親権・養育費・面会交流に関する定めはシート２をご利用ください。</t>
  </si>
  <si>
    <t>シート１</t>
  </si>
  <si>
    <t>シート２</t>
  </si>
  <si>
    <t>お名前</t>
  </si>
  <si>
    <t>　名義人：</t>
  </si>
  <si>
    <t>　住む人：</t>
  </si>
  <si>
    <t>自動車</t>
  </si>
  <si>
    <t>取得者：</t>
  </si>
  <si>
    <t>生命保険</t>
  </si>
  <si>
    <t>ペット</t>
  </si>
  <si>
    <t>毎月</t>
  </si>
  <si>
    <t>進学費用</t>
  </si>
  <si>
    <t>振込
口座</t>
  </si>
  <si>
    <t>面会交流</t>
  </si>
  <si>
    <t>※結婚前から有していた財産や負債、遺産相続などによって取得した財産は除外して下さい。</t>
  </si>
  <si>
    <t>債務（夫婦の共有財産および共同生活のために負った借金）</t>
  </si>
  <si>
    <t>●夫婦共有財産目録</t>
  </si>
  <si>
    <t>生命保険の解約返戻金等（保険金受取人が夫婦いずれかのもの）</t>
  </si>
  <si>
    <t>資産（１～７）合計</t>
  </si>
  <si>
    <t>按分割合</t>
  </si>
  <si>
    <t>／</t>
  </si>
  <si>
    <t>※支払期間が１０年を超える場合は、１０年分での算定となります。</t>
  </si>
  <si>
    <t>養育費の公正証書に関する必要書類</t>
  </si>
  <si>
    <t>子の父母</t>
  </si>
  <si>
    <t>印鑑登録証明書　各１通ずつ</t>
  </si>
  <si>
    <t>弁済スライド</t>
  </si>
  <si>
    <t>変更日</t>
  </si>
  <si>
    <t>変更額</t>
  </si>
  <si>
    <t>末</t>
  </si>
  <si>
    <t>・お子様のお名前・読み仮名、ご生年月日</t>
  </si>
  <si>
    <t>行政書士報酬</t>
  </si>
  <si>
    <t>・親権者（母または父）</t>
  </si>
  <si>
    <t>・面会交流の有無（ある場合は条件内容）</t>
  </si>
  <si>
    <t>養育費の公正証書に関する必要事項</t>
  </si>
  <si>
    <t>・ご父母様双方のお名前、ご住所、ご生年月日・ご職業</t>
  </si>
  <si>
    <t>お子様</t>
  </si>
  <si>
    <t>お子様</t>
  </si>
  <si>
    <t>親権者</t>
  </si>
  <si>
    <t>面会交流</t>
  </si>
  <si>
    <t>※養育費以外の金銭支払や財産分与の定めがある場合は、別途に必要書類が追加されます。</t>
  </si>
  <si>
    <t>※養育費以外の金銭支払や財産分与の定めがある場合は、その内容をお知らせください。</t>
  </si>
  <si>
    <t>離婚　→　戸籍謄本　１通</t>
  </si>
  <si>
    <t>非婚　→　認知の記載ある戸籍謄本　または　認知届受理証明書　１通</t>
  </si>
  <si>
    <t>当事者間の関係</t>
  </si>
  <si>
    <t>離婚</t>
  </si>
  <si>
    <t>非婚</t>
  </si>
  <si>
    <t>離婚届提出日（予定日）</t>
  </si>
  <si>
    <t>認知届提出日</t>
  </si>
  <si>
    <t>誕生日</t>
  </si>
  <si>
    <t>普通預金</t>
  </si>
  <si>
    <t>普通預金</t>
  </si>
  <si>
    <t>養育費保証サービス</t>
  </si>
  <si>
    <t>利用する・利用しない</t>
  </si>
  <si>
    <t>年　　　月　　　日</t>
  </si>
  <si>
    <t>・離婚の場合は離婚届出日、非婚の場合は認知届出日</t>
  </si>
  <si>
    <t>支払内容</t>
  </si>
  <si>
    <t>・支払開始日と終了時期、月額、その他</t>
  </si>
  <si>
    <t>種別</t>
  </si>
  <si>
    <t>保証</t>
  </si>
  <si>
    <t>・養育費保証サービスの利用の有無</t>
  </si>
  <si>
    <t>【法律行為に係る証書作成の手数料】</t>
  </si>
  <si>
    <t>（１）</t>
  </si>
  <si>
    <t>夫婦間の財産分与と慰謝料の総額で算定</t>
  </si>
  <si>
    <t>※不動産の場合は固定資産税評価額により算定</t>
  </si>
  <si>
    <t>※算定不能な定めは一律５００万円として算定</t>
  </si>
  <si>
    <t>（２）</t>
  </si>
  <si>
    <t>子どもに支払う養育費の総額で算定</t>
  </si>
  <si>
    <t>（３）</t>
  </si>
  <si>
    <t>年金分割を定める場合</t>
  </si>
  <si>
    <t>（４）</t>
  </si>
  <si>
    <t>公正証書の証書代（原本・正本・謄本）</t>
  </si>
  <si>
    <t>※約4,000円程度（枚数1枚あたり250円）</t>
  </si>
  <si>
    <t>※年金分割に関する抄録謄本は約2,000円程度</t>
  </si>
  <si>
    <t>（５）</t>
  </si>
  <si>
    <t>その他の手数料</t>
  </si>
  <si>
    <t>※執行分付与手数料　１通1,700円</t>
  </si>
  <si>
    <t>養育費月額</t>
  </si>
  <si>
    <t>支払う期間</t>
  </si>
  <si>
    <t>離婚給付契約公正証書にかかる公証人手数料</t>
  </si>
  <si>
    <t>養育費に関する基本手数料（概算）早見表</t>
  </si>
  <si>
    <t>※算定不能な定めは一律５００万円として算定</t>
  </si>
  <si>
    <t>※一律11,000円</t>
  </si>
  <si>
    <t>※上記（１）～（５）それぞれの金額を合算したものが手数料総額です。</t>
  </si>
  <si>
    <t>□</t>
  </si>
  <si>
    <t>義務者（養育費を支払う人）</t>
  </si>
  <si>
    <t>権利者（養育費をもらう人）</t>
  </si>
  <si>
    <t>収入区分</t>
  </si>
  <si>
    <t>税込年収</t>
  </si>
  <si>
    <t>収入区分</t>
  </si>
  <si>
    <t>子の人数（0歳～14歳）</t>
  </si>
  <si>
    <t>子の人数（15歳～19歳）</t>
  </si>
  <si>
    <t>義務者の生活係数</t>
  </si>
  <si>
    <t>権利者の生活係数</t>
  </si>
  <si>
    <t>権利者の基礎収入</t>
  </si>
  <si>
    <t>義務者の基礎収入</t>
  </si>
  <si>
    <t>権利者と</t>
  </si>
  <si>
    <t>子どもの</t>
  </si>
  <si>
    <t>生活費⇓</t>
  </si>
  <si>
    <t>子の生活係数（0～14）</t>
  </si>
  <si>
    <t>子の生活係数（0～15）</t>
  </si>
  <si>
    <t>婚姻費用分担額（年額）</t>
  </si>
  <si>
    <t>証書代</t>
  </si>
  <si>
    <t>基本
手数料</t>
  </si>
  <si>
    <t>あり</t>
  </si>
  <si>
    <t>養育費保証</t>
  </si>
  <si>
    <t>希望する文書の種類</t>
  </si>
  <si>
    <t>合意書　・　公証人の認証付き合意証書　・　公正証書</t>
  </si>
  <si>
    <t>※月額×12×年数で算出しています。正確には月額×支払回数（10年超えは10年分）＝目的価額から算出します。</t>
  </si>
  <si>
    <t>※送達手数料　１通1,650円＋送料実費（1,125円～程度）</t>
  </si>
  <si>
    <t>※支払年数が10年を超える場合は、10年分で算定</t>
  </si>
  <si>
    <t>保険証券、解約返戻金証明書。</t>
  </si>
  <si>
    <t>借用書、各種有価証券等の残高証明書、株式の配当報告、</t>
  </si>
  <si>
    <t>会員権や保証金などの預託金証明書、その他。</t>
  </si>
  <si>
    <t>金銭消費貸借契約書、リース契約書、返済予定表、など。</t>
  </si>
  <si>
    <t>年金分割のための情報提供通知書</t>
  </si>
  <si>
    <t>貴金属・宝石類・美術品・骨董品などの鑑定書。</t>
  </si>
  <si>
    <t>養育費支払予定表</t>
  </si>
  <si>
    <t>慰謝料</t>
  </si>
  <si>
    <t>返済年月日</t>
  </si>
  <si>
    <t>西暦</t>
  </si>
  <si>
    <t>支払月額</t>
  </si>
  <si>
    <t>支払残高</t>
  </si>
  <si>
    <t>１人目
返済年月日</t>
  </si>
  <si>
    <t>１人目
支払月額</t>
  </si>
  <si>
    <t>２人目
返済年月日</t>
  </si>
  <si>
    <t>２人目
支払月額</t>
  </si>
  <si>
    <t>３人目
返済年月日</t>
  </si>
  <si>
    <t>３人目
支払月額</t>
  </si>
  <si>
    <t>合計月額</t>
  </si>
  <si>
    <t>１人目</t>
  </si>
  <si>
    <t>養育費支払開始日</t>
  </si>
  <si>
    <t>毎月の返済日</t>
  </si>
  <si>
    <t>養育費支払終期</t>
  </si>
  <si>
    <t>１人目成人</t>
  </si>
  <si>
    <t>２人目</t>
  </si>
  <si>
    <t>２人目成人</t>
  </si>
  <si>
    <t>３人目</t>
  </si>
  <si>
    <t>３人目成人</t>
  </si>
  <si>
    <t>２４～２６万円</t>
  </si>
  <si>
    <t>養</t>
  </si>
  <si>
    <t>育</t>
  </si>
  <si>
    <t>費</t>
  </si>
  <si>
    <t>・</t>
  </si>
  <si>
    <t>２２～２４万円</t>
  </si>
  <si>
    <t>２８～３０万円</t>
  </si>
  <si>
    <t>３４～３６万円</t>
  </si>
  <si>
    <t>３２～３４万円</t>
  </si>
  <si>
    <t>２６～２８万円</t>
  </si>
  <si>
    <t>２０～２２万円</t>
  </si>
  <si>
    <t>３０～３２万円</t>
  </si>
  <si>
    <t>１８～２０万円</t>
  </si>
  <si>
    <t>１６～１８万円</t>
  </si>
  <si>
    <t>１４～１６万円</t>
  </si>
  <si>
    <t>１２～１４万円</t>
  </si>
  <si>
    <t>１０～１２万円</t>
  </si>
  <si>
    <t>８～１０万円</t>
  </si>
  <si>
    <t>６～８万円</t>
  </si>
  <si>
    <t>４～６万円</t>
  </si>
  <si>
    <t>２～４万円</t>
  </si>
  <si>
    <t>１～２万円</t>
  </si>
  <si>
    <t>０～１万円</t>
  </si>
  <si>
    <t>現状ママ・売却希望・名義変更</t>
  </si>
  <si>
    <t>現状ママ・売却希望・名義変更</t>
  </si>
  <si>
    <t>金円</t>
  </si>
  <si>
    <t>※夫婦間合意契約書（必要事項記入シート）</t>
  </si>
  <si>
    <t>【　　　　　年　　　月　　　日】</t>
  </si>
  <si>
    <t>ご自身の内容</t>
  </si>
  <si>
    <t>配偶者の内容</t>
  </si>
  <si>
    <t>未成年のお子様の内容</t>
  </si>
  <si>
    <t>お名前</t>
  </si>
  <si>
    <t>生年月日</t>
  </si>
  <si>
    <t>合意事項</t>
  </si>
  <si>
    <t>別居・同居</t>
  </si>
  <si>
    <t>年　　　　月　　　　日～</t>
  </si>
  <si>
    <t>婚姻費用</t>
  </si>
  <si>
    <t>月</t>
  </si>
  <si>
    <t>円</t>
  </si>
  <si>
    <t>原因事実</t>
  </si>
  <si>
    <t>※不貞・ＤＶ・借金・ギャンブル・薬物・暴言・その他</t>
  </si>
  <si>
    <t>誓約事項</t>
  </si>
  <si>
    <t>※不貞しない・外泊しない・暴言暴力しない・無断借金しない・ギャンブルしない・家事協力する、など</t>
  </si>
  <si>
    <t>違反時の
取り決め</t>
  </si>
  <si>
    <t>※協議離婚に承諾、慰謝料、財産分与、親権・養育費、面会交流、などの内容</t>
  </si>
  <si>
    <t>その他</t>
  </si>
  <si>
    <t>私署証書の認証にかかる必要書類</t>
  </si>
  <si>
    <t>当事者</t>
  </si>
  <si>
    <t>・当事者全員の生年月日・職業</t>
  </si>
  <si>
    <t>将来支給される退職金の額</t>
  </si>
  <si>
    <t>利率（年率）</t>
  </si>
  <si>
    <t>退職金が支給されるまでの年数</t>
  </si>
  <si>
    <t>現在価額</t>
  </si>
  <si>
    <t>※ライプニッツ計算方法</t>
  </si>
  <si>
    <t xml:space="preserve">　現在価額（手取額） ＝ </t>
  </si>
  <si>
    <t>　将来支給される額／（１＋利率）^支給されるまでの期間</t>
  </si>
  <si>
    <t>（将来支給される退職金</t>
  </si>
  <si>
    <t>年数</t>
  </si>
  <si>
    <t>ライプニッツ係数</t>
  </si>
  <si>
    <t>※将来支給される退職金から中間利息を控除した現在価額</t>
  </si>
  <si>
    <t>課税価格</t>
  </si>
  <si>
    <t>一般贈与財産</t>
  </si>
  <si>
    <t>特例贈与財産</t>
  </si>
  <si>
    <t>一般税率</t>
  </si>
  <si>
    <t>控除額</t>
  </si>
  <si>
    <t>特例税率</t>
  </si>
  <si>
    <t>-</t>
  </si>
  <si>
    <t>贈与を受けた合計金額</t>
  </si>
  <si>
    <t>※贈与税額＝（贈与を受けた合計金額―基礎控除１１０万円）×税率―控除額</t>
  </si>
  <si>
    <t>贈与税額</t>
  </si>
  <si>
    <t>一般・特別の種別</t>
  </si>
  <si>
    <t>一般</t>
  </si>
  <si>
    <t>贈与税額計算書</t>
  </si>
  <si>
    <t>夫婦間合意契約・婚姻費用分担契約</t>
  </si>
  <si>
    <t>婚姻費用</t>
  </si>
  <si>
    <t>その他</t>
  </si>
  <si>
    <t>財産分与、又は夫婦間の贈与や売買等を行う場合は、
その関係資料が必要になります。</t>
  </si>
  <si>
    <t>夫婦間の公正証書の必要書類</t>
  </si>
  <si>
    <t>同居継続</t>
  </si>
  <si>
    <t>別居解消</t>
  </si>
  <si>
    <t>別居開始</t>
  </si>
  <si>
    <t>○</t>
  </si>
  <si>
    <t>×</t>
  </si>
  <si>
    <t>当事者本人が出頭　⇒顔写真付き公的身分証明書　各１通ずつ
代理人に出頭依頼　⇒印鑑登録証明書　各１通ずつ</t>
  </si>
  <si>
    <t>（※別居の場合のみ記入↓）　</t>
  </si>
  <si>
    <t>【婚前契約書】</t>
  </si>
  <si>
    <t>手取月収</t>
  </si>
  <si>
    <t>手取月収</t>
  </si>
  <si>
    <t>年収</t>
  </si>
  <si>
    <t>年収</t>
  </si>
  <si>
    <t>結婚生活の予定</t>
  </si>
  <si>
    <t>結婚予定日</t>
  </si>
  <si>
    <t>居宅</t>
  </si>
  <si>
    <t>持家・賃貸・社宅・実家</t>
  </si>
  <si>
    <t>未成年の子</t>
  </si>
  <si>
    <t>無し・有り</t>
  </si>
  <si>
    <t>人</t>
  </si>
  <si>
    <t>（認知済み・養子縁組済み・養子縁組予定）</t>
  </si>
  <si>
    <t>取り決める内容</t>
  </si>
  <si>
    <t>取り決めた約束や条件の内容をご記入下さい。</t>
  </si>
  <si>
    <t>※例：家事や仕事の分担、家計管理、平日や週末の過ごし方、年間行事や記念日に関する決め事。</t>
  </si>
  <si>
    <t>　　　　未来の予定や目標、子どもの教育方針、緊急時の連絡方法や避難待ち合わせ場所。</t>
  </si>
  <si>
    <t>　　　　特有財産に関する定め、趣味やコレクション、交友関係に関する取り決め。</t>
  </si>
  <si>
    <t>　　　　双方の親族とのかかわり方、将来の介護や死後の事務、葬式、お墓、等に関する定め。</t>
  </si>
  <si>
    <t>　　　　浮氣やＤＶがあった場合の定め（離婚に応じる、慰謝料●●万円支払う、などなど）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</si>
</sst>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#&quot;名）&quot;"/>
    <numFmt numFmtId="178" formatCode=";;;"/>
    <numFmt numFmtId="179" formatCode="#,##0_);[Red]\(#,##0\)"/>
    <numFmt numFmtId="180" formatCode="gee\.mm\.dd"/>
    <numFmt numFmtId="181" formatCode="gggee&quot;年&quot;mm&quot;月&quot;dd&quot;日&quot;"/>
    <numFmt numFmtId="182" formatCode="gggee&quot;年&quot;m&quot;月&quot;d&quot;日&quot;"/>
    <numFmt numFmtId="183" formatCode="#,##0&quot;円&quot;"/>
    <numFmt numFmtId="184" formatCode="gggee&quot;年&quot;m&quot;月&quot;d&quot;日現在&quot;"/>
    <numFmt numFmtId="185" formatCode="#,##0;&quot;△ &quot;#,##0"/>
    <numFmt numFmtId="186" formatCode="#,##0;\-#,##0;&quot;-&quot;"/>
    <numFmt numFmtId="187" formatCode="[&lt;=999]000;[&lt;=99999]000\-00;000\-0000"/>
    <numFmt numFmtId="188" formatCode="[$-411]ggge&quot;年&quot;m&quot;月&quot;d&quot;日&quot;;@"/>
    <numFmt numFmtId="189" formatCode="0_ "/>
    <numFmt numFmtId="190" formatCode="&quot;(&quot;#,###&quot;)&quot;"/>
    <numFmt numFmtId="191" formatCode="#&quot;万円&quot;"/>
    <numFmt numFmtId="192" formatCode="0.00_ "/>
    <numFmt numFmtId="193" formatCode="0&quot;人&quot;"/>
    <numFmt numFmtId="194" formatCode="#,##0.000000_ ;[Red]\-#,##0.000000\ "/>
    <numFmt numFmtId="195" formatCode="&quot;（年額&quot;#,##0&quot;円）&quot;"/>
    <numFmt numFmtId="196" formatCode="#,###.##&quot;㎡&quot;"/>
    <numFmt numFmtId="197" formatCode="\※&quot;夫&quot;&quot;婦&quot;&quot;間&quot;&quot;の&quot;&quot;財&quot;&quot;産&quot;&quot;分&quot;&quot;与&quot;&quot;や&quot;&quot;慰&quot;&quot;謝&quot;&quot;料&quot;&quot;に&quot;&quot;関&quot;&quot;す&quot;&quot;る&quot;&quot;定&quot;&quot;め&quot;&quot;は&quot;&quot;シ&quot;&quot;ー&quot;&quot;ト&quot;\1&quot;お&quot;&quot;子&quot;&quot;様&quot;&quot;の&quot;&quot;親&quot;&quot;権&quot;&quot;・&quot;&quot;養&quot;&quot;育&quot;&quot;費&quot;&quot;・&quot;&quot;面&quot;&quot;会&quot;&quot;交&quot;&quot;流&quot;&quot;に&quot;&quot;関&quot;&quot;す&quot;&quot;る&quot;&quot;定&quot;&quot;め&quot;&quot;は&quot;&quot;シ&quot;&quot;ー&quot;&quot;ト&quot;\2&quot;を&quot;&quot;ご&quot;&quot;利&quot;&quot;用&quot;&quot;く&quot;&quot;だ&quot;&quot;さ&quot;&quot;い&quot;."/>
    <numFmt numFmtId="198" formatCode="&quot;金&quot;#&quot;円&quot;"/>
    <numFmt numFmtId="199" formatCode="&quot;金&quot;#,###&quot;円&quot;"/>
    <numFmt numFmtId="200" formatCode="yyyy&quot;年&quot;m&quot;月&quot;d&quot;日&quot;;@"/>
    <numFmt numFmtId="201" formatCode="#,##0&quot;円を超え&quot;"/>
    <numFmt numFmtId="202" formatCode="#,###&quot;円以下&quot;"/>
    <numFmt numFmtId="203" formatCode="&quot;～月額　&quot;#,##0&quot;円以内&quot;"/>
    <numFmt numFmtId="204" formatCode="#&quot;年間&quot;"/>
    <numFmt numFmtId="205" formatCode="#&quot;年以上&quot;"/>
    <numFmt numFmtId="206" formatCode="#&quot;人&quot;"/>
    <numFmt numFmtId="207" formatCode="0,000;0;"/>
    <numFmt numFmtId="208" formatCode="#,###"/>
    <numFmt numFmtId="209" formatCode="#&quot;回払&quot;"/>
    <numFmt numFmtId="210" formatCode="0.000_ "/>
    <numFmt numFmtId="211" formatCode="&quot;（表&quot;#&quot;）&quot;"/>
    <numFmt numFmtId="212" formatCode="#,##0&quot;円&quot;;&quot;△ &quot;#,##0&quot;円&quot;"/>
    <numFmt numFmtId="213" formatCode="yyyy&quot;年&quot;m&quot;月&quot;d&quot;日まで&quot;;"/>
    <numFmt numFmtId="214" formatCode="#&quot;回&quot;"/>
    <numFmt numFmtId="215" formatCode="&quot;¥&quot;#,##0&quot;の場合）&quot;;&quot;¥&quot;\-#,##0&quot;の場合）&quot;"/>
    <numFmt numFmtId="216" formatCode="&quot;（&quot;0%&quot;の場合）&quot;"/>
    <numFmt numFmtId="217" formatCode="#,##0.0000_ "/>
    <numFmt numFmtId="218" formatCode="#,###&quot;万円以下&quot;"/>
    <numFmt numFmtId="219" formatCode="#,##0&quot;万円超え&quot;"/>
    <numFmt numFmtId="220" formatCode="0&quot;万円&quot;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[&lt;=999]000;[&lt;=9999]000\-00;000\-0000"/>
    <numFmt numFmtId="225" formatCode="[$]ggge&quot;年&quot;m&quot;月&quot;d&quot;日&quot;;@"/>
    <numFmt numFmtId="226" formatCode="[$]gge&quot;年&quot;m&quot;月&quot;d&quot;日&quot;;@"/>
  </numFmts>
  <fonts count="1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b/>
      <sz val="11"/>
      <name val="BIZ UDP明朝 Medium"/>
      <family val="1"/>
    </font>
    <font>
      <b/>
      <sz val="11"/>
      <name val="BIZ UDゴシック"/>
      <family val="3"/>
    </font>
    <font>
      <sz val="11"/>
      <name val="BIZ UDゴシック"/>
      <family val="3"/>
    </font>
    <font>
      <b/>
      <sz val="12"/>
      <name val="BIZ UDゴシック"/>
      <family val="3"/>
    </font>
    <font>
      <sz val="9"/>
      <name val="BIZ UDゴシック"/>
      <family val="3"/>
    </font>
    <font>
      <b/>
      <sz val="14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12"/>
      <name val="ＭＳ Ｐゴシック"/>
      <family val="3"/>
    </font>
    <font>
      <b/>
      <sz val="11"/>
      <color indexed="63"/>
      <name val="Verdana"/>
      <family val="2"/>
    </font>
    <font>
      <sz val="11"/>
      <color indexed="63"/>
      <name val="Verdana"/>
      <family val="2"/>
    </font>
    <font>
      <b/>
      <sz val="12"/>
      <color indexed="8"/>
      <name val="ＭＳ Ｐゴシック"/>
      <family val="3"/>
    </font>
    <font>
      <b/>
      <sz val="11"/>
      <color indexed="8"/>
      <name val="BIZ UDゴシック"/>
      <family val="3"/>
    </font>
    <font>
      <sz val="11"/>
      <color indexed="8"/>
      <name val="BIZ UD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BIZ UDゴシック"/>
      <family val="3"/>
    </font>
    <font>
      <b/>
      <sz val="16"/>
      <color indexed="10"/>
      <name val="BIZ UDゴシック"/>
      <family val="3"/>
    </font>
    <font>
      <b/>
      <sz val="14"/>
      <color indexed="8"/>
      <name val="BIZ UDゴシック"/>
      <family val="3"/>
    </font>
    <font>
      <sz val="12"/>
      <color indexed="8"/>
      <name val="BIZ UDPゴシック"/>
      <family val="3"/>
    </font>
    <font>
      <sz val="14"/>
      <color indexed="8"/>
      <name val="BIZ UDゴシック"/>
      <family val="3"/>
    </font>
    <font>
      <b/>
      <sz val="12"/>
      <color indexed="8"/>
      <name val="BIZ UDゴシック"/>
      <family val="3"/>
    </font>
    <font>
      <sz val="9"/>
      <color indexed="12"/>
      <name val="BIZ UDゴシック"/>
      <family val="3"/>
    </font>
    <font>
      <b/>
      <sz val="10"/>
      <color indexed="10"/>
      <name val="BIZ UD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color indexed="8"/>
      <name val="BIZ UDゴシック"/>
      <family val="3"/>
    </font>
    <font>
      <b/>
      <sz val="28"/>
      <color indexed="8"/>
      <name val="BIZ UDゴシック"/>
      <family val="3"/>
    </font>
    <font>
      <b/>
      <sz val="11"/>
      <color indexed="9"/>
      <name val="Verdana"/>
      <family val="2"/>
    </font>
    <font>
      <b/>
      <sz val="24"/>
      <color indexed="12"/>
      <name val="HG丸ｺﾞｼｯｸM-PRO"/>
      <family val="3"/>
    </font>
    <font>
      <b/>
      <sz val="11"/>
      <color indexed="10"/>
      <name val="BIZ UDゴシック"/>
      <family val="3"/>
    </font>
    <font>
      <b/>
      <sz val="11"/>
      <color indexed="36"/>
      <name val="BIZ UDゴシック"/>
      <family val="3"/>
    </font>
    <font>
      <sz val="10"/>
      <color indexed="8"/>
      <name val="BIZ UDゴシック"/>
      <family val="3"/>
    </font>
    <font>
      <sz val="24"/>
      <color indexed="8"/>
      <name val="BIZ UDゴシック"/>
      <family val="3"/>
    </font>
    <font>
      <b/>
      <u val="single"/>
      <sz val="12"/>
      <color indexed="8"/>
      <name val="BIZ UDゴシック"/>
      <family val="3"/>
    </font>
    <font>
      <sz val="28"/>
      <color indexed="8"/>
      <name val="BIZ UDゴシック"/>
      <family val="3"/>
    </font>
    <font>
      <sz val="18"/>
      <color indexed="8"/>
      <name val="BIZ UDゴシック"/>
      <family val="3"/>
    </font>
    <font>
      <b/>
      <u val="single"/>
      <sz val="20"/>
      <color indexed="10"/>
      <name val="BIZ UDゴシック"/>
      <family val="3"/>
    </font>
    <font>
      <b/>
      <u val="single"/>
      <sz val="16"/>
      <color indexed="8"/>
      <name val="BIZ UD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28"/>
      <color indexed="8"/>
      <name val="HG丸ｺﾞｼｯｸM-PRO"/>
      <family val="3"/>
    </font>
    <font>
      <sz val="16"/>
      <color indexed="8"/>
      <name val="BIZ UDゴシック"/>
      <family val="3"/>
    </font>
    <font>
      <b/>
      <sz val="18"/>
      <color indexed="8"/>
      <name val="BIZ UDゴシック"/>
      <family val="3"/>
    </font>
    <font>
      <b/>
      <sz val="20"/>
      <color indexed="8"/>
      <name val="BIZ UD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4"/>
      <color rgb="FFFF0000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rgb="FF0000FF"/>
      <name val="ＭＳ Ｐゴシック"/>
      <family val="3"/>
    </font>
    <font>
      <b/>
      <sz val="11"/>
      <color rgb="FF333333"/>
      <name val="Verdana"/>
      <family val="2"/>
    </font>
    <font>
      <sz val="11"/>
      <color rgb="FF333333"/>
      <name val="Verdana"/>
      <family val="2"/>
    </font>
    <font>
      <b/>
      <sz val="12"/>
      <color theme="1"/>
      <name val="Calibri"/>
      <family val="3"/>
    </font>
    <font>
      <b/>
      <sz val="11"/>
      <color theme="1"/>
      <name val="BIZ UDゴシック"/>
      <family val="3"/>
    </font>
    <font>
      <sz val="11"/>
      <color theme="1"/>
      <name val="BIZ UD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theme="1"/>
      <name val="BIZ UDゴシック"/>
      <family val="3"/>
    </font>
    <font>
      <b/>
      <sz val="16"/>
      <color rgb="FFFF0000"/>
      <name val="BIZ UDゴシック"/>
      <family val="3"/>
    </font>
    <font>
      <b/>
      <sz val="14"/>
      <color theme="1"/>
      <name val="BIZ UDゴシック"/>
      <family val="3"/>
    </font>
    <font>
      <sz val="12"/>
      <color theme="1"/>
      <name val="BIZ UDPゴシック"/>
      <family val="3"/>
    </font>
    <font>
      <sz val="14"/>
      <color theme="1"/>
      <name val="BIZ UDゴシック"/>
      <family val="3"/>
    </font>
    <font>
      <b/>
      <sz val="12"/>
      <color theme="1"/>
      <name val="BIZ UDゴシック"/>
      <family val="3"/>
    </font>
    <font>
      <b/>
      <sz val="10"/>
      <color rgb="FFFF0000"/>
      <name val="BIZ UDゴシック"/>
      <family val="3"/>
    </font>
    <font>
      <sz val="9"/>
      <color rgb="FF0000FF"/>
      <name val="BIZ UDゴシック"/>
      <family val="3"/>
    </font>
    <font>
      <sz val="26"/>
      <color theme="1"/>
      <name val="Calibri"/>
      <family val="3"/>
    </font>
    <font>
      <b/>
      <sz val="24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28"/>
      <color theme="1"/>
      <name val="BIZ UDゴシック"/>
      <family val="3"/>
    </font>
    <font>
      <b/>
      <sz val="16"/>
      <color theme="1"/>
      <name val="BIZ UDゴシック"/>
      <family val="3"/>
    </font>
    <font>
      <b/>
      <sz val="11"/>
      <color rgb="FF7030A0"/>
      <name val="BIZ UDゴシック"/>
      <family val="3"/>
    </font>
    <font>
      <sz val="10"/>
      <color theme="1"/>
      <name val="BIZ UDゴシック"/>
      <family val="3"/>
    </font>
    <font>
      <sz val="24"/>
      <color theme="1"/>
      <name val="BIZ UDゴシック"/>
      <family val="3"/>
    </font>
    <font>
      <b/>
      <sz val="11"/>
      <color rgb="FFFF0000"/>
      <name val="BIZ UDゴシック"/>
      <family val="3"/>
    </font>
    <font>
      <b/>
      <sz val="11"/>
      <color rgb="FFFFFFFF"/>
      <name val="Verdana"/>
      <family val="2"/>
    </font>
    <font>
      <b/>
      <sz val="24"/>
      <color rgb="FF0066FF"/>
      <name val="HG丸ｺﾞｼｯｸM-PRO"/>
      <family val="3"/>
    </font>
    <font>
      <b/>
      <u val="single"/>
      <sz val="12"/>
      <color theme="1"/>
      <name val="BIZ UDゴシック"/>
      <family val="3"/>
    </font>
    <font>
      <sz val="28"/>
      <color theme="1"/>
      <name val="BIZ UDゴシック"/>
      <family val="3"/>
    </font>
    <font>
      <b/>
      <u val="single"/>
      <sz val="20"/>
      <color rgb="FFFF0000"/>
      <name val="BIZ UDゴシック"/>
      <family val="3"/>
    </font>
    <font>
      <sz val="18"/>
      <color theme="1"/>
      <name val="BIZ UDゴシック"/>
      <family val="3"/>
    </font>
    <font>
      <b/>
      <u val="single"/>
      <sz val="16"/>
      <color theme="1"/>
      <name val="BIZ UDゴシック"/>
      <family val="3"/>
    </font>
    <font>
      <sz val="11"/>
      <color rgb="FF0000FF"/>
      <name val="ＭＳ Ｐゴシック"/>
      <family val="3"/>
    </font>
    <font>
      <b/>
      <sz val="10"/>
      <color rgb="FF0000FF"/>
      <name val="ＭＳ Ｐゴシック"/>
      <family val="3"/>
    </font>
    <font>
      <b/>
      <sz val="28"/>
      <color theme="1"/>
      <name val="HG丸ｺﾞｼｯｸM-PRO"/>
      <family val="3"/>
    </font>
    <font>
      <sz val="16"/>
      <color theme="1"/>
      <name val="BIZ UDゴシック"/>
      <family val="3"/>
    </font>
    <font>
      <b/>
      <sz val="18"/>
      <color theme="1"/>
      <name val="BIZ UDゴシック"/>
      <family val="3"/>
    </font>
    <font>
      <b/>
      <sz val="20"/>
      <color theme="1"/>
      <name val="BIZ UDゴシック"/>
      <family val="3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rgb="FF66FF66"/>
      </patternFill>
    </fill>
    <fill>
      <patternFill patternType="solid">
        <fgColor rgb="FFCCFF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indexed="9"/>
        <bgColor rgb="FFFFCC99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indexed="9"/>
        <bgColor theme="6" tint="0.5999600291252136"/>
      </patternFill>
    </fill>
    <fill>
      <patternFill patternType="mediumGray">
        <fgColor indexed="9"/>
        <bgColor theme="0"/>
      </patternFill>
    </fill>
    <fill>
      <patternFill patternType="solid">
        <fgColor rgb="FF0000FF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FCCCC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18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6" borderId="3" applyNumberFormat="0" applyAlignment="0" applyProtection="0"/>
    <xf numFmtId="0" fontId="98" fillId="27" borderId="0" applyNumberFormat="0" applyBorder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100" fillId="0" borderId="5" applyNumberFormat="0" applyFill="0" applyAlignment="0" applyProtection="0"/>
    <xf numFmtId="0" fontId="101" fillId="29" borderId="0" applyNumberFormat="0" applyBorder="0" applyAlignment="0" applyProtection="0"/>
    <xf numFmtId="0" fontId="102" fillId="30" borderId="6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10" applyNumberFormat="0" applyFill="0" applyAlignment="0" applyProtection="0"/>
    <xf numFmtId="0" fontId="108" fillId="30" borderId="11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1" fillId="0" borderId="0" applyNumberFormat="0" applyFill="0" applyBorder="0" applyAlignment="0" applyProtection="0"/>
    <xf numFmtId="0" fontId="112" fillId="32" borderId="0" applyNumberFormat="0" applyBorder="0" applyAlignment="0" applyProtection="0"/>
  </cellStyleXfs>
  <cellXfs count="1058">
    <xf numFmtId="0" fontId="0" fillId="0" borderId="0" xfId="0" applyFont="1" applyAlignment="1">
      <alignment vertical="center"/>
    </xf>
    <xf numFmtId="0" fontId="107" fillId="33" borderId="12" xfId="0" applyFont="1" applyFill="1" applyBorder="1" applyAlignment="1">
      <alignment horizontal="center" vertical="center"/>
    </xf>
    <xf numFmtId="0" fontId="107" fillId="34" borderId="12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28" borderId="12" xfId="0" applyNumberFormat="1" applyFill="1" applyBorder="1" applyAlignment="1">
      <alignment vertical="center"/>
    </xf>
    <xf numFmtId="176" fontId="107" fillId="28" borderId="13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8" borderId="12" xfId="0" applyFill="1" applyBorder="1" applyAlignment="1">
      <alignment vertical="center"/>
    </xf>
    <xf numFmtId="176" fontId="107" fillId="28" borderId="12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76" fontId="0" fillId="28" borderId="15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28" borderId="12" xfId="0" applyFill="1" applyBorder="1" applyAlignment="1">
      <alignment horizontal="center" vertical="center"/>
    </xf>
    <xf numFmtId="177" fontId="113" fillId="0" borderId="12" xfId="0" applyNumberFormat="1" applyFont="1" applyBorder="1" applyAlignment="1">
      <alignment vertical="center"/>
    </xf>
    <xf numFmtId="0" fontId="113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13" fillId="0" borderId="0" xfId="70" applyFont="1" applyAlignment="1">
      <alignment horizontal="center" vertical="center"/>
      <protection/>
    </xf>
    <xf numFmtId="178" fontId="3" fillId="0" borderId="16" xfId="72" applyNumberFormat="1" applyBorder="1">
      <alignment vertical="center"/>
      <protection/>
    </xf>
    <xf numFmtId="0" fontId="0" fillId="0" borderId="17" xfId="70" applyBorder="1" applyAlignment="1">
      <alignment horizontal="center" vertical="center"/>
      <protection/>
    </xf>
    <xf numFmtId="0" fontId="0" fillId="0" borderId="0" xfId="70" applyAlignment="1">
      <alignment horizontal="center" vertical="center"/>
      <protection/>
    </xf>
    <xf numFmtId="178" fontId="114" fillId="0" borderId="18" xfId="70" applyNumberFormat="1" applyFont="1" applyBorder="1">
      <alignment vertical="center"/>
      <protection/>
    </xf>
    <xf numFmtId="179" fontId="115" fillId="0" borderId="12" xfId="70" applyNumberFormat="1" applyFont="1" applyBorder="1">
      <alignment vertical="center"/>
      <protection/>
    </xf>
    <xf numFmtId="180" fontId="116" fillId="0" borderId="19" xfId="70" applyNumberFormat="1" applyFont="1" applyBorder="1">
      <alignment vertical="center"/>
      <protection/>
    </xf>
    <xf numFmtId="179" fontId="115" fillId="0" borderId="20" xfId="70" applyNumberFormat="1" applyFont="1" applyBorder="1">
      <alignment vertical="center"/>
      <protection/>
    </xf>
    <xf numFmtId="0" fontId="115" fillId="0" borderId="21" xfId="70" applyFont="1" applyBorder="1">
      <alignment vertical="center"/>
      <protection/>
    </xf>
    <xf numFmtId="180" fontId="115" fillId="0" borderId="12" xfId="70" applyNumberFormat="1" applyFont="1" applyBorder="1">
      <alignment vertical="center"/>
      <protection/>
    </xf>
    <xf numFmtId="58" fontId="113" fillId="0" borderId="22" xfId="70" applyNumberFormat="1" applyFont="1" applyBorder="1" applyAlignment="1">
      <alignment horizontal="left" vertical="center"/>
      <protection/>
    </xf>
    <xf numFmtId="178" fontId="114" fillId="0" borderId="21" xfId="70" applyNumberFormat="1" applyFont="1" applyBorder="1">
      <alignment vertical="center"/>
      <protection/>
    </xf>
    <xf numFmtId="180" fontId="115" fillId="0" borderId="23" xfId="70" applyNumberFormat="1" applyFont="1" applyBorder="1">
      <alignment vertical="center"/>
      <protection/>
    </xf>
    <xf numFmtId="178" fontId="114" fillId="0" borderId="12" xfId="70" applyNumberFormat="1" applyFont="1" applyBorder="1">
      <alignment vertical="center"/>
      <protection/>
    </xf>
    <xf numFmtId="58" fontId="113" fillId="0" borderId="24" xfId="70" applyNumberFormat="1" applyFont="1" applyBorder="1" applyAlignment="1">
      <alignment horizontal="left" vertical="center"/>
      <protection/>
    </xf>
    <xf numFmtId="179" fontId="113" fillId="0" borderId="19" xfId="70" applyNumberFormat="1" applyFont="1" applyBorder="1" applyAlignment="1">
      <alignment horizontal="left" vertical="center"/>
      <protection/>
    </xf>
    <xf numFmtId="0" fontId="113" fillId="0" borderId="19" xfId="70" applyFont="1" applyBorder="1" applyAlignment="1">
      <alignment horizontal="left" vertical="center"/>
      <protection/>
    </xf>
    <xf numFmtId="0" fontId="113" fillId="0" borderId="25" xfId="70" applyFont="1" applyBorder="1" applyAlignment="1">
      <alignment horizontal="left" vertical="center"/>
      <protection/>
    </xf>
    <xf numFmtId="181" fontId="114" fillId="35" borderId="24" xfId="70" applyNumberFormat="1" applyFont="1" applyFill="1" applyBorder="1">
      <alignment vertical="center"/>
      <protection/>
    </xf>
    <xf numFmtId="182" fontId="114" fillId="35" borderId="19" xfId="70" applyNumberFormat="1" applyFont="1" applyFill="1" applyBorder="1">
      <alignment vertical="center"/>
      <protection/>
    </xf>
    <xf numFmtId="182" fontId="117" fillId="35" borderId="26" xfId="70" applyNumberFormat="1" applyFont="1" applyFill="1" applyBorder="1">
      <alignment vertical="center"/>
      <protection/>
    </xf>
    <xf numFmtId="182" fontId="117" fillId="35" borderId="27" xfId="70" applyNumberFormat="1" applyFont="1" applyFill="1" applyBorder="1">
      <alignment vertical="center"/>
      <protection/>
    </xf>
    <xf numFmtId="0" fontId="115" fillId="0" borderId="0" xfId="70" applyFont="1">
      <alignment vertical="center"/>
      <protection/>
    </xf>
    <xf numFmtId="178" fontId="114" fillId="0" borderId="0" xfId="70" applyNumberFormat="1" applyFont="1">
      <alignment vertical="center"/>
      <protection/>
    </xf>
    <xf numFmtId="0" fontId="116" fillId="0" borderId="0" xfId="70" applyFont="1">
      <alignment vertical="center"/>
      <protection/>
    </xf>
    <xf numFmtId="0" fontId="115" fillId="6" borderId="12" xfId="0" applyFont="1" applyFill="1" applyBorder="1" applyAlignment="1">
      <alignment vertical="center"/>
    </xf>
    <xf numFmtId="0" fontId="115" fillId="0" borderId="12" xfId="0" applyFont="1" applyBorder="1" applyAlignment="1">
      <alignment vertical="center"/>
    </xf>
    <xf numFmtId="0" fontId="115" fillId="36" borderId="12" xfId="0" applyFont="1" applyFill="1" applyBorder="1" applyAlignment="1">
      <alignment vertical="center"/>
    </xf>
    <xf numFmtId="0" fontId="115" fillId="13" borderId="12" xfId="0" applyFont="1" applyFill="1" applyBorder="1" applyAlignment="1">
      <alignment vertical="center"/>
    </xf>
    <xf numFmtId="0" fontId="115" fillId="17" borderId="12" xfId="0" applyFont="1" applyFill="1" applyBorder="1" applyAlignment="1">
      <alignment vertical="center"/>
    </xf>
    <xf numFmtId="0" fontId="118" fillId="28" borderId="28" xfId="0" applyFont="1" applyFill="1" applyBorder="1" applyAlignment="1">
      <alignment horizontal="center" vertical="center"/>
    </xf>
    <xf numFmtId="0" fontId="118" fillId="28" borderId="29" xfId="0" applyFont="1" applyFill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3" fillId="0" borderId="0" xfId="71">
      <alignment vertical="center"/>
      <protection/>
    </xf>
    <xf numFmtId="0" fontId="3" fillId="0" borderId="0" xfId="71" applyAlignment="1">
      <alignment vertical="center" textRotation="255"/>
      <protection/>
    </xf>
    <xf numFmtId="176" fontId="4" fillId="0" borderId="15" xfId="71" applyNumberFormat="1" applyFont="1" applyBorder="1">
      <alignment vertical="center"/>
      <protection/>
    </xf>
    <xf numFmtId="0" fontId="3" fillId="37" borderId="12" xfId="71" applyFill="1" applyBorder="1">
      <alignment vertical="center"/>
      <protection/>
    </xf>
    <xf numFmtId="0" fontId="3" fillId="38" borderId="12" xfId="71" applyFill="1" applyBorder="1">
      <alignment vertical="center"/>
      <protection/>
    </xf>
    <xf numFmtId="176" fontId="4" fillId="0" borderId="34" xfId="71" applyNumberFormat="1" applyFont="1" applyBorder="1">
      <alignment vertical="center"/>
      <protection/>
    </xf>
    <xf numFmtId="176" fontId="4" fillId="0" borderId="35" xfId="71" applyNumberFormat="1" applyFont="1" applyBorder="1">
      <alignment vertical="center"/>
      <protection/>
    </xf>
    <xf numFmtId="176" fontId="4" fillId="0" borderId="2" xfId="71" applyNumberFormat="1" applyFont="1" applyBorder="1">
      <alignment vertical="center"/>
      <protection/>
    </xf>
    <xf numFmtId="176" fontId="4" fillId="0" borderId="36" xfId="71" applyNumberFormat="1" applyFont="1" applyBorder="1">
      <alignment vertical="center"/>
      <protection/>
    </xf>
    <xf numFmtId="0" fontId="3" fillId="0" borderId="0" xfId="71" applyAlignment="1">
      <alignment horizontal="center" vertical="center"/>
      <protection/>
    </xf>
    <xf numFmtId="0" fontId="3" fillId="0" borderId="12" xfId="71" applyBorder="1" applyAlignment="1">
      <alignment horizontal="center" vertical="center"/>
      <protection/>
    </xf>
    <xf numFmtId="0" fontId="3" fillId="0" borderId="12" xfId="71" applyBorder="1">
      <alignment vertical="center"/>
      <protection/>
    </xf>
    <xf numFmtId="0" fontId="7" fillId="39" borderId="12" xfId="71" applyFont="1" applyFill="1" applyBorder="1">
      <alignment vertical="center"/>
      <protection/>
    </xf>
    <xf numFmtId="0" fontId="7" fillId="40" borderId="12" xfId="71" applyFont="1" applyFill="1" applyBorder="1">
      <alignment vertical="center"/>
      <protection/>
    </xf>
    <xf numFmtId="0" fontId="3" fillId="0" borderId="37" xfId="71" applyBorder="1" applyAlignment="1">
      <alignment vertical="top"/>
      <protection/>
    </xf>
    <xf numFmtId="0" fontId="3" fillId="0" borderId="0" xfId="71" applyAlignment="1">
      <alignment vertical="top"/>
      <protection/>
    </xf>
    <xf numFmtId="0" fontId="3" fillId="0" borderId="38" xfId="71" applyBorder="1" applyAlignment="1">
      <alignment vertical="top"/>
      <protection/>
    </xf>
    <xf numFmtId="0" fontId="3" fillId="0" borderId="35" xfId="71" applyBorder="1" applyAlignment="1">
      <alignment vertical="top"/>
      <protection/>
    </xf>
    <xf numFmtId="0" fontId="3" fillId="0" borderId="39" xfId="71" applyBorder="1" applyAlignment="1">
      <alignment vertical="top"/>
      <protection/>
    </xf>
    <xf numFmtId="0" fontId="3" fillId="0" borderId="20" xfId="71" applyBorder="1" applyAlignment="1">
      <alignment vertical="top"/>
      <protection/>
    </xf>
    <xf numFmtId="0" fontId="0" fillId="0" borderId="0" xfId="70">
      <alignment vertical="center"/>
      <protection/>
    </xf>
    <xf numFmtId="0" fontId="114" fillId="0" borderId="12" xfId="70" applyFont="1" applyBorder="1">
      <alignment vertical="center"/>
      <protection/>
    </xf>
    <xf numFmtId="0" fontId="114" fillId="0" borderId="12" xfId="70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73">
      <alignment vertical="center"/>
      <protection/>
    </xf>
    <xf numFmtId="191" fontId="0" fillId="0" borderId="12" xfId="73" applyNumberFormat="1" applyBorder="1">
      <alignment vertical="center"/>
      <protection/>
    </xf>
    <xf numFmtId="0" fontId="0" fillId="0" borderId="12" xfId="73" applyBorder="1" applyAlignment="1">
      <alignment horizontal="right" vertical="center"/>
      <protection/>
    </xf>
    <xf numFmtId="192" fontId="0" fillId="0" borderId="12" xfId="0" applyNumberFormat="1" applyBorder="1" applyAlignment="1">
      <alignment vertical="center"/>
    </xf>
    <xf numFmtId="0" fontId="3" fillId="0" borderId="35" xfId="71" applyBorder="1" applyAlignment="1">
      <alignment horizontal="center" vertical="center"/>
      <protection/>
    </xf>
    <xf numFmtId="0" fontId="3" fillId="0" borderId="21" xfId="71" applyBorder="1" applyAlignment="1">
      <alignment horizontal="center" vertical="center"/>
      <protection/>
    </xf>
    <xf numFmtId="0" fontId="3" fillId="0" borderId="40" xfId="71" applyBorder="1" applyAlignment="1">
      <alignment horizontal="center" vertical="center"/>
      <protection/>
    </xf>
    <xf numFmtId="0" fontId="3" fillId="0" borderId="16" xfId="71" applyBorder="1" applyAlignment="1">
      <alignment horizontal="center" vertical="center"/>
      <protection/>
    </xf>
    <xf numFmtId="0" fontId="18" fillId="41" borderId="17" xfId="71" applyFont="1" applyFill="1" applyBorder="1" applyAlignment="1">
      <alignment horizontal="center" vertical="center"/>
      <protection/>
    </xf>
    <xf numFmtId="0" fontId="18" fillId="41" borderId="12" xfId="71" applyFont="1" applyFill="1" applyBorder="1" applyAlignment="1">
      <alignment horizontal="center" vertical="center"/>
      <protection/>
    </xf>
    <xf numFmtId="0" fontId="18" fillId="41" borderId="15" xfId="71" applyFont="1" applyFill="1" applyBorder="1" applyAlignment="1">
      <alignment horizontal="center" vertical="center"/>
      <protection/>
    </xf>
    <xf numFmtId="0" fontId="7" fillId="42" borderId="41" xfId="71" applyFont="1" applyFill="1" applyBorder="1" applyAlignment="1">
      <alignment horizontal="center" vertical="center"/>
      <protection/>
    </xf>
    <xf numFmtId="0" fontId="7" fillId="42" borderId="36" xfId="71" applyFont="1" applyFill="1" applyBorder="1" applyAlignment="1">
      <alignment horizontal="center" vertical="center"/>
      <protection/>
    </xf>
    <xf numFmtId="0" fontId="18" fillId="42" borderId="33" xfId="71" applyFont="1" applyFill="1" applyBorder="1" applyAlignment="1">
      <alignment horizontal="center" vertical="center"/>
      <protection/>
    </xf>
    <xf numFmtId="0" fontId="3" fillId="0" borderId="42" xfId="71" applyBorder="1" applyAlignment="1">
      <alignment horizontal="right" vertical="center"/>
      <protection/>
    </xf>
    <xf numFmtId="0" fontId="17" fillId="0" borderId="21" xfId="71" applyFont="1" applyBorder="1" applyAlignment="1">
      <alignment horizontal="right" vertical="center"/>
      <protection/>
    </xf>
    <xf numFmtId="0" fontId="17" fillId="0" borderId="18" xfId="71" applyFont="1" applyBorder="1" applyAlignment="1">
      <alignment horizontal="right" vertical="center"/>
      <protection/>
    </xf>
    <xf numFmtId="0" fontId="3" fillId="0" borderId="43" xfId="71" applyBorder="1" applyAlignment="1">
      <alignment horizontal="center" vertical="center"/>
      <protection/>
    </xf>
    <xf numFmtId="0" fontId="17" fillId="0" borderId="12" xfId="71" applyFont="1" applyBorder="1" applyAlignment="1">
      <alignment horizontal="right" vertical="center"/>
      <protection/>
    </xf>
    <xf numFmtId="0" fontId="3" fillId="0" borderId="44" xfId="71" applyBorder="1" applyAlignment="1">
      <alignment horizontal="right" vertical="center"/>
      <protection/>
    </xf>
    <xf numFmtId="0" fontId="18" fillId="42" borderId="17" xfId="71" applyFont="1" applyFill="1" applyBorder="1" applyAlignment="1">
      <alignment horizontal="center" vertical="center"/>
      <protection/>
    </xf>
    <xf numFmtId="0" fontId="18" fillId="42" borderId="12" xfId="71" applyFont="1" applyFill="1" applyBorder="1" applyAlignment="1">
      <alignment horizontal="center" vertical="center"/>
      <protection/>
    </xf>
    <xf numFmtId="0" fontId="3" fillId="0" borderId="0" xfId="71" applyProtection="1">
      <alignment vertical="center"/>
      <protection hidden="1"/>
    </xf>
    <xf numFmtId="0" fontId="3" fillId="0" borderId="0" xfId="71" applyAlignment="1" applyProtection="1">
      <alignment horizontal="right" vertical="center"/>
      <protection hidden="1"/>
    </xf>
    <xf numFmtId="0" fontId="16" fillId="0" borderId="0" xfId="71" applyFont="1" applyAlignment="1" applyProtection="1">
      <alignment horizontal="center" vertical="center"/>
      <protection hidden="1"/>
    </xf>
    <xf numFmtId="0" fontId="3" fillId="40" borderId="12" xfId="71" applyFill="1" applyBorder="1" applyAlignment="1" applyProtection="1">
      <alignment horizontal="center" vertical="center"/>
      <protection hidden="1"/>
    </xf>
    <xf numFmtId="0" fontId="3" fillId="0" borderId="12" xfId="71" applyBorder="1" applyAlignment="1" applyProtection="1">
      <alignment horizontal="center" vertical="center"/>
      <protection hidden="1"/>
    </xf>
    <xf numFmtId="0" fontId="4" fillId="0" borderId="2" xfId="71" applyFont="1" applyBorder="1" applyAlignment="1" applyProtection="1">
      <alignment horizontal="center" vertical="center"/>
      <protection hidden="1"/>
    </xf>
    <xf numFmtId="0" fontId="3" fillId="0" borderId="0" xfId="71" applyAlignment="1" applyProtection="1">
      <alignment vertical="center" shrinkToFit="1"/>
      <protection hidden="1"/>
    </xf>
    <xf numFmtId="0" fontId="3" fillId="0" borderId="45" xfId="71" applyBorder="1" applyAlignment="1" applyProtection="1">
      <alignment horizontal="right" vertical="center" shrinkToFit="1"/>
      <protection hidden="1"/>
    </xf>
    <xf numFmtId="0" fontId="3" fillId="0" borderId="45" xfId="71" applyBorder="1" applyAlignment="1" applyProtection="1">
      <alignment vertical="center" shrinkToFit="1"/>
      <protection hidden="1"/>
    </xf>
    <xf numFmtId="179" fontId="3" fillId="0" borderId="45" xfId="71" applyNumberFormat="1" applyBorder="1" applyAlignment="1" applyProtection="1">
      <alignment vertical="center" shrinkToFit="1"/>
      <protection hidden="1"/>
    </xf>
    <xf numFmtId="0" fontId="3" fillId="0" borderId="0" xfId="71" applyAlignment="1" applyProtection="1">
      <alignment horizontal="right" vertical="center" shrinkToFit="1"/>
      <protection hidden="1"/>
    </xf>
    <xf numFmtId="179" fontId="3" fillId="0" borderId="0" xfId="71" applyNumberFormat="1" applyAlignment="1" applyProtection="1">
      <alignment vertical="center" shrinkToFit="1"/>
      <protection hidden="1"/>
    </xf>
    <xf numFmtId="179" fontId="3" fillId="0" borderId="0" xfId="75" applyNumberFormat="1" applyAlignment="1" applyProtection="1">
      <alignment horizontal="right" vertical="center" shrinkToFit="1"/>
      <protection hidden="1"/>
    </xf>
    <xf numFmtId="179" fontId="3" fillId="0" borderId="0" xfId="71" applyNumberFormat="1" applyAlignment="1" applyProtection="1">
      <alignment horizontal="right" vertical="center" shrinkToFit="1"/>
      <protection hidden="1"/>
    </xf>
    <xf numFmtId="178" fontId="2" fillId="0" borderId="0" xfId="71" applyNumberFormat="1" applyFont="1">
      <alignment vertical="center"/>
      <protection/>
    </xf>
    <xf numFmtId="0" fontId="17" fillId="0" borderId="0" xfId="71" applyFont="1">
      <alignment vertical="center"/>
      <protection/>
    </xf>
    <xf numFmtId="0" fontId="17" fillId="0" borderId="0" xfId="71" applyFont="1" applyAlignment="1">
      <alignment horizontal="center" vertical="center"/>
      <protection/>
    </xf>
    <xf numFmtId="49" fontId="119" fillId="0" borderId="46" xfId="75" applyNumberFormat="1" applyFont="1" applyBorder="1" applyAlignment="1" applyProtection="1">
      <alignment vertical="center" shrinkToFit="1"/>
      <protection hidden="1"/>
    </xf>
    <xf numFmtId="49" fontId="119" fillId="0" borderId="47" xfId="75" applyNumberFormat="1" applyFont="1" applyBorder="1" applyAlignment="1" applyProtection="1">
      <alignment vertical="center" shrinkToFit="1"/>
      <protection hidden="1"/>
    </xf>
    <xf numFmtId="49" fontId="119" fillId="0" borderId="48" xfId="75" applyNumberFormat="1" applyFont="1" applyBorder="1" applyAlignment="1" applyProtection="1">
      <alignment vertical="center" shrinkToFit="1"/>
      <protection hidden="1"/>
    </xf>
    <xf numFmtId="197" fontId="4" fillId="0" borderId="0" xfId="71" applyNumberFormat="1" applyFont="1">
      <alignment vertical="center"/>
      <protection/>
    </xf>
    <xf numFmtId="0" fontId="3" fillId="0" borderId="2" xfId="71" applyBorder="1" applyAlignment="1" applyProtection="1">
      <alignment horizontal="center" vertical="center"/>
      <protection hidden="1"/>
    </xf>
    <xf numFmtId="0" fontId="3" fillId="0" borderId="36" xfId="71" applyBorder="1" applyAlignment="1" applyProtection="1">
      <alignment horizontal="center" vertical="center"/>
      <protection hidden="1"/>
    </xf>
    <xf numFmtId="0" fontId="3" fillId="0" borderId="21" xfId="71" applyBorder="1" applyAlignment="1" applyProtection="1">
      <alignment horizontal="center" vertical="center"/>
      <protection hidden="1"/>
    </xf>
    <xf numFmtId="0" fontId="103" fillId="0" borderId="0" xfId="0" applyFont="1" applyAlignment="1">
      <alignment vertical="center"/>
    </xf>
    <xf numFmtId="0" fontId="0" fillId="0" borderId="0" xfId="0" applyAlignment="1">
      <alignment vertical="center"/>
    </xf>
    <xf numFmtId="179" fontId="113" fillId="0" borderId="49" xfId="70" applyNumberFormat="1" applyFont="1" applyBorder="1" applyAlignment="1">
      <alignment horizontal="left" vertical="center"/>
      <protection/>
    </xf>
    <xf numFmtId="0" fontId="120" fillId="35" borderId="17" xfId="70" applyFont="1" applyFill="1" applyBorder="1" applyAlignment="1">
      <alignment horizontal="center" vertical="center"/>
      <protection/>
    </xf>
    <xf numFmtId="0" fontId="120" fillId="35" borderId="32" xfId="70" applyFont="1" applyFill="1" applyBorder="1" applyAlignment="1">
      <alignment horizontal="center" vertical="center"/>
      <protection/>
    </xf>
    <xf numFmtId="179" fontId="115" fillId="0" borderId="21" xfId="70" applyNumberFormat="1" applyFont="1" applyBorder="1">
      <alignment vertical="center"/>
      <protection/>
    </xf>
    <xf numFmtId="0" fontId="114" fillId="0" borderId="0" xfId="70" applyFont="1" applyAlignment="1">
      <alignment horizontal="center" vertical="center"/>
      <protection/>
    </xf>
    <xf numFmtId="179" fontId="115" fillId="0" borderId="0" xfId="70" applyNumberFormat="1" applyFont="1">
      <alignment vertical="center"/>
      <protection/>
    </xf>
    <xf numFmtId="179" fontId="115" fillId="0" borderId="37" xfId="70" applyNumberFormat="1" applyFont="1" applyBorder="1">
      <alignment vertical="center"/>
      <protection/>
    </xf>
    <xf numFmtId="0" fontId="121" fillId="0" borderId="12" xfId="70" applyFont="1" applyBorder="1">
      <alignment vertical="center"/>
      <protection/>
    </xf>
    <xf numFmtId="58" fontId="113" fillId="36" borderId="49" xfId="70" applyNumberFormat="1" applyFont="1" applyFill="1" applyBorder="1" applyAlignment="1">
      <alignment horizontal="left" vertical="center"/>
      <protection/>
    </xf>
    <xf numFmtId="0" fontId="122" fillId="0" borderId="12" xfId="70" applyFont="1" applyBorder="1" applyAlignment="1">
      <alignment horizontal="center" vertical="center"/>
      <protection/>
    </xf>
    <xf numFmtId="0" fontId="114" fillId="0" borderId="12" xfId="70" applyFont="1" applyBorder="1" applyAlignment="1">
      <alignment vertical="center" wrapText="1"/>
      <protection/>
    </xf>
    <xf numFmtId="0" fontId="123" fillId="0" borderId="12" xfId="70" applyFont="1" applyBorder="1" applyAlignment="1">
      <alignment horizontal="center" vertical="center" wrapText="1"/>
      <protection/>
    </xf>
    <xf numFmtId="0" fontId="123" fillId="0" borderId="0" xfId="70" applyFont="1" applyAlignment="1">
      <alignment horizontal="center" vertical="center"/>
      <protection/>
    </xf>
    <xf numFmtId="0" fontId="114" fillId="0" borderId="0" xfId="70" applyFont="1">
      <alignment vertical="center"/>
      <protection/>
    </xf>
    <xf numFmtId="0" fontId="122" fillId="0" borderId="0" xfId="70" applyFont="1" applyAlignment="1">
      <alignment horizontal="left" vertical="center"/>
      <protection/>
    </xf>
    <xf numFmtId="0" fontId="115" fillId="0" borderId="12" xfId="70" applyFont="1" applyBorder="1">
      <alignment vertical="center"/>
      <protection/>
    </xf>
    <xf numFmtId="0" fontId="122" fillId="0" borderId="12" xfId="70" applyFont="1" applyBorder="1" applyAlignment="1">
      <alignment horizontal="center" vertical="center"/>
      <protection/>
    </xf>
    <xf numFmtId="0" fontId="114" fillId="0" borderId="12" xfId="70" applyFont="1" applyBorder="1" applyAlignment="1">
      <alignment vertical="center" wrapText="1"/>
      <protection/>
    </xf>
    <xf numFmtId="0" fontId="123" fillId="0" borderId="12" xfId="70" applyFont="1" applyBorder="1" applyAlignment="1">
      <alignment horizontal="center" vertical="center" wrapText="1"/>
      <protection/>
    </xf>
    <xf numFmtId="0" fontId="15" fillId="43" borderId="12" xfId="71" applyFont="1" applyFill="1" applyBorder="1" applyAlignment="1">
      <alignment horizontal="center" vertical="center"/>
      <protection/>
    </xf>
    <xf numFmtId="0" fontId="3" fillId="0" borderId="23" xfId="71" applyBorder="1" applyAlignment="1">
      <alignment horizontal="center" vertical="center"/>
      <protection/>
    </xf>
    <xf numFmtId="0" fontId="3" fillId="0" borderId="50" xfId="71" applyBorder="1" applyAlignment="1">
      <alignment horizontal="center" vertical="center"/>
      <protection/>
    </xf>
    <xf numFmtId="0" fontId="15" fillId="43" borderId="32" xfId="71" applyFont="1" applyFill="1" applyBorder="1" applyAlignment="1">
      <alignment horizontal="center" vertical="center"/>
      <protection/>
    </xf>
    <xf numFmtId="0" fontId="124" fillId="0" borderId="21" xfId="71" applyFont="1" applyBorder="1" applyAlignment="1">
      <alignment horizontal="right" vertical="center"/>
      <protection/>
    </xf>
    <xf numFmtId="0" fontId="124" fillId="0" borderId="12" xfId="71" applyFont="1" applyBorder="1" applyAlignment="1">
      <alignment horizontal="right" vertical="center"/>
      <protection/>
    </xf>
    <xf numFmtId="0" fontId="0" fillId="41" borderId="0" xfId="0" applyFill="1" applyAlignment="1">
      <alignment vertical="center"/>
    </xf>
    <xf numFmtId="0" fontId="125" fillId="44" borderId="51" xfId="0" applyFont="1" applyFill="1" applyBorder="1" applyAlignment="1">
      <alignment horizontal="center" vertical="center" wrapText="1"/>
    </xf>
    <xf numFmtId="0" fontId="125" fillId="44" borderId="52" xfId="0" applyFont="1" applyFill="1" applyBorder="1" applyAlignment="1">
      <alignment horizontal="center" vertical="center" wrapText="1"/>
    </xf>
    <xf numFmtId="0" fontId="125" fillId="44" borderId="13" xfId="0" applyFont="1" applyFill="1" applyBorder="1" applyAlignment="1">
      <alignment vertical="center" wrapText="1"/>
    </xf>
    <xf numFmtId="201" fontId="126" fillId="0" borderId="53" xfId="0" applyNumberFormat="1" applyFont="1" applyBorder="1" applyAlignment="1">
      <alignment horizontal="left" vertical="center" wrapText="1"/>
    </xf>
    <xf numFmtId="202" fontId="126" fillId="0" borderId="54" xfId="0" applyNumberFormat="1" applyFont="1" applyBorder="1" applyAlignment="1">
      <alignment horizontal="left" vertical="center" wrapText="1"/>
    </xf>
    <xf numFmtId="201" fontId="126" fillId="41" borderId="53" xfId="0" applyNumberFormat="1" applyFont="1" applyFill="1" applyBorder="1" applyAlignment="1">
      <alignment horizontal="left" vertical="center" wrapText="1"/>
    </xf>
    <xf numFmtId="202" fontId="126" fillId="41" borderId="54" xfId="0" applyNumberFormat="1" applyFont="1" applyFill="1" applyBorder="1" applyAlignment="1">
      <alignment horizontal="left" vertical="center" wrapText="1"/>
    </xf>
    <xf numFmtId="183" fontId="126" fillId="41" borderId="54" xfId="0" applyNumberFormat="1" applyFont="1" applyFill="1" applyBorder="1" applyAlignment="1">
      <alignment vertical="center" wrapText="1"/>
    </xf>
    <xf numFmtId="201" fontId="126" fillId="0" borderId="55" xfId="0" applyNumberFormat="1" applyFont="1" applyBorder="1" applyAlignment="1">
      <alignment horizontal="left" vertical="center" wrapText="1"/>
    </xf>
    <xf numFmtId="202" fontId="126" fillId="0" borderId="42" xfId="0" applyNumberFormat="1" applyFont="1" applyBorder="1" applyAlignment="1">
      <alignment horizontal="left" vertical="center" wrapText="1"/>
    </xf>
    <xf numFmtId="183" fontId="126" fillId="41" borderId="42" xfId="0" applyNumberFormat="1" applyFont="1" applyFill="1" applyBorder="1" applyAlignment="1">
      <alignment vertical="center" wrapText="1"/>
    </xf>
    <xf numFmtId="49" fontId="0" fillId="41" borderId="0" xfId="0" applyNumberFormat="1" applyFill="1" applyAlignment="1">
      <alignment vertical="top"/>
    </xf>
    <xf numFmtId="0" fontId="0" fillId="41" borderId="0" xfId="0" applyFill="1" applyAlignment="1">
      <alignment vertical="center"/>
    </xf>
    <xf numFmtId="201" fontId="126" fillId="0" borderId="56" xfId="0" applyNumberFormat="1" applyFont="1" applyBorder="1" applyAlignment="1">
      <alignment horizontal="left" vertical="center" wrapText="1"/>
    </xf>
    <xf numFmtId="202" fontId="126" fillId="0" borderId="57" xfId="0" applyNumberFormat="1" applyFont="1" applyBorder="1" applyAlignment="1">
      <alignment horizontal="left" vertical="center" wrapText="1"/>
    </xf>
    <xf numFmtId="201" fontId="126" fillId="41" borderId="58" xfId="0" applyNumberFormat="1" applyFont="1" applyFill="1" applyBorder="1" applyAlignment="1">
      <alignment horizontal="left" vertical="center" wrapText="1"/>
    </xf>
    <xf numFmtId="202" fontId="126" fillId="41" borderId="59" xfId="0" applyNumberFormat="1" applyFont="1" applyFill="1" applyBorder="1" applyAlignment="1">
      <alignment horizontal="left" vertical="center" wrapText="1"/>
    </xf>
    <xf numFmtId="183" fontId="126" fillId="41" borderId="57" xfId="0" applyNumberFormat="1" applyFont="1" applyFill="1" applyBorder="1" applyAlignment="1">
      <alignment vertical="center" wrapText="1"/>
    </xf>
    <xf numFmtId="0" fontId="116" fillId="0" borderId="12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72" applyProtection="1">
      <alignment vertical="center"/>
      <protection hidden="1"/>
    </xf>
    <xf numFmtId="0" fontId="0" fillId="0" borderId="0" xfId="73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127" fillId="33" borderId="12" xfId="0" applyFont="1" applyFill="1" applyBorder="1" applyAlignment="1">
      <alignment vertical="center"/>
    </xf>
    <xf numFmtId="0" fontId="114" fillId="0" borderId="15" xfId="70" applyFont="1" applyBorder="1">
      <alignment vertical="center"/>
      <protection/>
    </xf>
    <xf numFmtId="0" fontId="114" fillId="0" borderId="33" xfId="70" applyFont="1" applyBorder="1">
      <alignment vertical="center"/>
      <protection/>
    </xf>
    <xf numFmtId="49" fontId="128" fillId="41" borderId="60" xfId="0" applyNumberFormat="1" applyFont="1" applyFill="1" applyBorder="1" applyAlignment="1">
      <alignment horizontal="center" vertical="top"/>
    </xf>
    <xf numFmtId="49" fontId="129" fillId="41" borderId="61" xfId="0" applyNumberFormat="1" applyFont="1" applyFill="1" applyBorder="1" applyAlignment="1">
      <alignment vertical="top"/>
    </xf>
    <xf numFmtId="49" fontId="129" fillId="41" borderId="62" xfId="0" applyNumberFormat="1" applyFont="1" applyFill="1" applyBorder="1" applyAlignment="1">
      <alignment vertical="top"/>
    </xf>
    <xf numFmtId="49" fontId="128" fillId="41" borderId="63" xfId="0" applyNumberFormat="1" applyFont="1" applyFill="1" applyBorder="1" applyAlignment="1">
      <alignment horizontal="center" vertical="top"/>
    </xf>
    <xf numFmtId="49" fontId="129" fillId="41" borderId="39" xfId="0" applyNumberFormat="1" applyFont="1" applyFill="1" applyBorder="1" applyAlignment="1">
      <alignment vertical="top"/>
    </xf>
    <xf numFmtId="0" fontId="129" fillId="41" borderId="64" xfId="0" applyFont="1" applyFill="1" applyBorder="1" applyAlignment="1">
      <alignment vertical="center"/>
    </xf>
    <xf numFmtId="49" fontId="129" fillId="41" borderId="65" xfId="0" applyNumberFormat="1" applyFont="1" applyFill="1" applyBorder="1" applyAlignment="1">
      <alignment vertical="top"/>
    </xf>
    <xf numFmtId="176" fontId="129" fillId="0" borderId="12" xfId="0" applyNumberFormat="1" applyFont="1" applyBorder="1" applyAlignment="1">
      <alignment vertical="center"/>
    </xf>
    <xf numFmtId="176" fontId="129" fillId="36" borderId="12" xfId="0" applyNumberFormat="1" applyFont="1" applyFill="1" applyBorder="1" applyAlignment="1">
      <alignment vertical="center"/>
    </xf>
    <xf numFmtId="176" fontId="129" fillId="4" borderId="12" xfId="0" applyNumberFormat="1" applyFont="1" applyFill="1" applyBorder="1" applyAlignment="1">
      <alignment vertical="center"/>
    </xf>
    <xf numFmtId="176" fontId="129" fillId="7" borderId="12" xfId="0" applyNumberFormat="1" applyFont="1" applyFill="1" applyBorder="1" applyAlignment="1">
      <alignment vertical="center"/>
    </xf>
    <xf numFmtId="176" fontId="129" fillId="2" borderId="12" xfId="0" applyNumberFormat="1" applyFont="1" applyFill="1" applyBorder="1" applyAlignment="1">
      <alignment vertical="center"/>
    </xf>
    <xf numFmtId="0" fontId="129" fillId="41" borderId="0" xfId="0" applyFont="1" applyFill="1" applyAlignment="1">
      <alignment vertical="center"/>
    </xf>
    <xf numFmtId="0" fontId="0" fillId="0" borderId="33" xfId="70" applyBorder="1" applyAlignment="1">
      <alignment horizontal="center" vertical="center"/>
      <protection/>
    </xf>
    <xf numFmtId="0" fontId="0" fillId="0" borderId="32" xfId="70" applyBorder="1" applyAlignment="1">
      <alignment horizontal="center" vertical="center"/>
      <protection/>
    </xf>
    <xf numFmtId="209" fontId="130" fillId="0" borderId="66" xfId="72" applyNumberFormat="1" applyFont="1" applyBorder="1" applyAlignment="1">
      <alignment horizontal="center" vertical="center"/>
      <protection/>
    </xf>
    <xf numFmtId="179" fontId="131" fillId="0" borderId="67" xfId="72" applyNumberFormat="1" applyFont="1" applyBorder="1" applyAlignment="1">
      <alignment horizontal="center" vertical="center"/>
      <protection/>
    </xf>
    <xf numFmtId="0" fontId="115" fillId="0" borderId="68" xfId="70" applyFont="1" applyBorder="1">
      <alignment vertical="center"/>
      <protection/>
    </xf>
    <xf numFmtId="178" fontId="114" fillId="0" borderId="16" xfId="70" applyNumberFormat="1" applyFont="1" applyBorder="1">
      <alignment vertical="center"/>
      <protection/>
    </xf>
    <xf numFmtId="180" fontId="115" fillId="0" borderId="68" xfId="70" applyNumberFormat="1" applyFont="1" applyBorder="1">
      <alignment vertical="center"/>
      <protection/>
    </xf>
    <xf numFmtId="179" fontId="115" fillId="0" borderId="17" xfId="70" applyNumberFormat="1" applyFont="1" applyBorder="1">
      <alignment vertical="center"/>
      <protection/>
    </xf>
    <xf numFmtId="178" fontId="114" fillId="0" borderId="17" xfId="70" applyNumberFormat="1" applyFont="1" applyBorder="1">
      <alignment vertical="center"/>
      <protection/>
    </xf>
    <xf numFmtId="180" fontId="116" fillId="0" borderId="24" xfId="70" applyNumberFormat="1" applyFont="1" applyBorder="1">
      <alignment vertical="center"/>
      <protection/>
    </xf>
    <xf numFmtId="179" fontId="115" fillId="0" borderId="41" xfId="70" applyNumberFormat="1" applyFont="1" applyBorder="1">
      <alignment vertical="center"/>
      <protection/>
    </xf>
    <xf numFmtId="0" fontId="115" fillId="0" borderId="24" xfId="70" applyFont="1" applyBorder="1">
      <alignment vertical="center"/>
      <protection/>
    </xf>
    <xf numFmtId="0" fontId="115" fillId="0" borderId="23" xfId="70" applyFont="1" applyBorder="1">
      <alignment vertical="center"/>
      <protection/>
    </xf>
    <xf numFmtId="0" fontId="115" fillId="0" borderId="19" xfId="70" applyFont="1" applyBorder="1">
      <alignment vertical="center"/>
      <protection/>
    </xf>
    <xf numFmtId="0" fontId="115" fillId="0" borderId="50" xfId="70" applyFont="1" applyBorder="1">
      <alignment vertical="center"/>
      <protection/>
    </xf>
    <xf numFmtId="180" fontId="115" fillId="0" borderId="50" xfId="70" applyNumberFormat="1" applyFont="1" applyBorder="1">
      <alignment vertical="center"/>
      <protection/>
    </xf>
    <xf numFmtId="179" fontId="115" fillId="0" borderId="32" xfId="70" applyNumberFormat="1" applyFont="1" applyBorder="1">
      <alignment vertical="center"/>
      <protection/>
    </xf>
    <xf numFmtId="178" fontId="114" fillId="0" borderId="32" xfId="70" applyNumberFormat="1" applyFont="1" applyBorder="1">
      <alignment vertical="center"/>
      <protection/>
    </xf>
    <xf numFmtId="180" fontId="116" fillId="0" borderId="49" xfId="70" applyNumberFormat="1" applyFont="1" applyBorder="1">
      <alignment vertical="center"/>
      <protection/>
    </xf>
    <xf numFmtId="179" fontId="115" fillId="0" borderId="69" xfId="70" applyNumberFormat="1" applyFont="1" applyBorder="1">
      <alignment vertical="center"/>
      <protection/>
    </xf>
    <xf numFmtId="0" fontId="115" fillId="0" borderId="49" xfId="70" applyFont="1" applyBorder="1">
      <alignment vertical="center"/>
      <protection/>
    </xf>
    <xf numFmtId="210" fontId="0" fillId="0" borderId="12" xfId="0" applyNumberFormat="1" applyBorder="1" applyAlignment="1">
      <alignment vertical="center"/>
    </xf>
    <xf numFmtId="176" fontId="17" fillId="0" borderId="15" xfId="71" applyNumberFormat="1" applyFont="1" applyBorder="1">
      <alignment vertical="center"/>
      <protection/>
    </xf>
    <xf numFmtId="176" fontId="17" fillId="0" borderId="34" xfId="71" applyNumberFormat="1" applyFont="1" applyBorder="1">
      <alignment vertical="center"/>
      <protection/>
    </xf>
    <xf numFmtId="176" fontId="17" fillId="0" borderId="2" xfId="71" applyNumberFormat="1" applyFont="1" applyBorder="1">
      <alignment vertical="center"/>
      <protection/>
    </xf>
    <xf numFmtId="176" fontId="17" fillId="0" borderId="36" xfId="71" applyNumberFormat="1" applyFont="1" applyBorder="1">
      <alignment vertical="center"/>
      <protection/>
    </xf>
    <xf numFmtId="0" fontId="3" fillId="0" borderId="0" xfId="71" applyAlignment="1">
      <alignment horizontal="left" vertical="center"/>
      <protection/>
    </xf>
    <xf numFmtId="0" fontId="3" fillId="37" borderId="0" xfId="71" applyFill="1" applyBorder="1">
      <alignment vertical="center"/>
      <protection/>
    </xf>
    <xf numFmtId="0" fontId="3" fillId="38" borderId="0" xfId="71" applyFill="1" applyBorder="1">
      <alignment vertical="center"/>
      <protection/>
    </xf>
    <xf numFmtId="176" fontId="17" fillId="0" borderId="0" xfId="71" applyNumberFormat="1" applyFont="1" applyBorder="1">
      <alignment vertical="center"/>
      <protection/>
    </xf>
    <xf numFmtId="0" fontId="3" fillId="28" borderId="12" xfId="71" applyFill="1" applyBorder="1">
      <alignment vertical="center"/>
      <protection/>
    </xf>
    <xf numFmtId="0" fontId="3" fillId="28" borderId="2" xfId="71" applyFill="1" applyBorder="1" applyAlignment="1">
      <alignment vertical="center"/>
      <protection/>
    </xf>
    <xf numFmtId="0" fontId="3" fillId="28" borderId="36" xfId="71" applyFill="1" applyBorder="1" applyAlignment="1">
      <alignment vertical="center"/>
      <protection/>
    </xf>
    <xf numFmtId="0" fontId="3" fillId="28" borderId="21" xfId="71" applyFill="1" applyBorder="1" applyAlignment="1">
      <alignment vertical="center"/>
      <protection/>
    </xf>
    <xf numFmtId="0" fontId="3" fillId="44" borderId="21" xfId="71" applyFill="1" applyBorder="1" applyAlignment="1">
      <alignment vertical="center"/>
      <protection/>
    </xf>
    <xf numFmtId="0" fontId="3" fillId="44" borderId="36" xfId="71" applyFill="1" applyBorder="1" applyAlignment="1">
      <alignment vertical="center"/>
      <protection/>
    </xf>
    <xf numFmtId="0" fontId="3" fillId="44" borderId="12" xfId="71" applyFill="1" applyBorder="1">
      <alignment vertical="center"/>
      <protection/>
    </xf>
    <xf numFmtId="0" fontId="3" fillId="15" borderId="21" xfId="71" applyFill="1" applyBorder="1" applyAlignment="1">
      <alignment vertical="center"/>
      <protection/>
    </xf>
    <xf numFmtId="0" fontId="3" fillId="15" borderId="2" xfId="71" applyFill="1" applyBorder="1" applyAlignment="1">
      <alignment vertical="center"/>
      <protection/>
    </xf>
    <xf numFmtId="0" fontId="3" fillId="15" borderId="36" xfId="71" applyFill="1" applyBorder="1" applyAlignment="1">
      <alignment vertical="center"/>
      <protection/>
    </xf>
    <xf numFmtId="0" fontId="3" fillId="15" borderId="36" xfId="71" applyFill="1" applyBorder="1">
      <alignment vertical="center"/>
      <protection/>
    </xf>
    <xf numFmtId="0" fontId="3" fillId="15" borderId="12" xfId="71" applyFill="1" applyBorder="1">
      <alignment vertical="center"/>
      <protection/>
    </xf>
    <xf numFmtId="0" fontId="132" fillId="6" borderId="12" xfId="0" applyFont="1" applyFill="1" applyBorder="1" applyAlignment="1" applyProtection="1">
      <alignment vertical="center"/>
      <protection hidden="1"/>
    </xf>
    <xf numFmtId="0" fontId="132" fillId="0" borderId="12" xfId="0" applyFont="1" applyBorder="1" applyAlignment="1" applyProtection="1">
      <alignment horizontal="center" vertical="center"/>
      <protection locked="0"/>
    </xf>
    <xf numFmtId="0" fontId="132" fillId="36" borderId="12" xfId="0" applyFont="1" applyFill="1" applyBorder="1" applyAlignment="1" applyProtection="1">
      <alignment vertical="center"/>
      <protection hidden="1"/>
    </xf>
    <xf numFmtId="0" fontId="132" fillId="13" borderId="12" xfId="0" applyFont="1" applyFill="1" applyBorder="1" applyAlignment="1" applyProtection="1">
      <alignment vertical="center"/>
      <protection hidden="1"/>
    </xf>
    <xf numFmtId="0" fontId="129" fillId="0" borderId="12" xfId="0" applyFont="1" applyBorder="1" applyAlignment="1" applyProtection="1">
      <alignment vertical="center"/>
      <protection locked="0"/>
    </xf>
    <xf numFmtId="0" fontId="129" fillId="0" borderId="15" xfId="0" applyFont="1" applyBorder="1" applyAlignment="1" applyProtection="1">
      <alignment vertical="center"/>
      <protection locked="0"/>
    </xf>
    <xf numFmtId="0" fontId="132" fillId="5" borderId="68" xfId="0" applyFont="1" applyFill="1" applyBorder="1" applyAlignment="1" applyProtection="1">
      <alignment vertical="center"/>
      <protection hidden="1"/>
    </xf>
    <xf numFmtId="0" fontId="132" fillId="5" borderId="17" xfId="0" applyFont="1" applyFill="1" applyBorder="1" applyAlignment="1" applyProtection="1">
      <alignment vertical="center"/>
      <protection hidden="1"/>
    </xf>
    <xf numFmtId="0" fontId="129" fillId="5" borderId="23" xfId="0" applyFont="1" applyFill="1" applyBorder="1" applyAlignment="1" applyProtection="1">
      <alignment vertical="center"/>
      <protection hidden="1"/>
    </xf>
    <xf numFmtId="0" fontId="129" fillId="5" borderId="12" xfId="0" applyFont="1" applyFill="1" applyBorder="1" applyAlignment="1" applyProtection="1">
      <alignment vertical="center"/>
      <protection hidden="1"/>
    </xf>
    <xf numFmtId="0" fontId="129" fillId="17" borderId="65" xfId="0" applyFont="1" applyFill="1" applyBorder="1" applyAlignment="1" applyProtection="1">
      <alignment vertical="center"/>
      <protection hidden="1"/>
    </xf>
    <xf numFmtId="0" fontId="129" fillId="17" borderId="0" xfId="0" applyFont="1" applyFill="1" applyAlignment="1" applyProtection="1">
      <alignment vertical="center"/>
      <protection hidden="1"/>
    </xf>
    <xf numFmtId="185" fontId="132" fillId="11" borderId="24" xfId="0" applyNumberFormat="1" applyFont="1" applyFill="1" applyBorder="1" applyAlignment="1" applyProtection="1">
      <alignment horizontal="center" vertical="center"/>
      <protection hidden="1"/>
    </xf>
    <xf numFmtId="0" fontId="129" fillId="3" borderId="25" xfId="0" applyFont="1" applyFill="1" applyBorder="1" applyAlignment="1" applyProtection="1">
      <alignment horizontal="center" vertical="center"/>
      <protection hidden="1"/>
    </xf>
    <xf numFmtId="0" fontId="129" fillId="3" borderId="70" xfId="0" applyFont="1" applyFill="1" applyBorder="1" applyAlignment="1" applyProtection="1">
      <alignment horizontal="center" vertical="center"/>
      <protection hidden="1"/>
    </xf>
    <xf numFmtId="0" fontId="129" fillId="0" borderId="0" xfId="0" applyFont="1" applyAlignment="1">
      <alignment vertical="center"/>
    </xf>
    <xf numFmtId="0" fontId="132" fillId="6" borderId="12" xfId="0" applyFont="1" applyFill="1" applyBorder="1" applyAlignment="1">
      <alignment vertical="center"/>
    </xf>
    <xf numFmtId="0" fontId="132" fillId="0" borderId="12" xfId="0" applyFont="1" applyBorder="1" applyAlignment="1">
      <alignment vertical="center"/>
    </xf>
    <xf numFmtId="0" fontId="132" fillId="35" borderId="12" xfId="0" applyFont="1" applyFill="1" applyBorder="1" applyAlignment="1">
      <alignment vertical="center"/>
    </xf>
    <xf numFmtId="0" fontId="132" fillId="13" borderId="12" xfId="0" applyFont="1" applyFill="1" applyBorder="1" applyAlignment="1">
      <alignment vertical="center"/>
    </xf>
    <xf numFmtId="0" fontId="128" fillId="0" borderId="71" xfId="0" applyFont="1" applyBorder="1" applyAlignment="1">
      <alignment vertical="center"/>
    </xf>
    <xf numFmtId="0" fontId="132" fillId="36" borderId="12" xfId="0" applyFont="1" applyFill="1" applyBorder="1" applyAlignment="1">
      <alignment vertical="center"/>
    </xf>
    <xf numFmtId="0" fontId="133" fillId="0" borderId="72" xfId="0" applyFont="1" applyBorder="1" applyAlignment="1">
      <alignment horizontal="center" vertical="center"/>
    </xf>
    <xf numFmtId="0" fontId="132" fillId="45" borderId="12" xfId="0" applyFont="1" applyFill="1" applyBorder="1" applyAlignment="1">
      <alignment vertical="center"/>
    </xf>
    <xf numFmtId="183" fontId="134" fillId="0" borderId="72" xfId="0" applyNumberFormat="1" applyFont="1" applyBorder="1" applyAlignment="1">
      <alignment horizontal="center" vertical="center"/>
    </xf>
    <xf numFmtId="0" fontId="128" fillId="0" borderId="73" xfId="0" applyFont="1" applyBorder="1" applyAlignment="1">
      <alignment vertical="center"/>
    </xf>
    <xf numFmtId="0" fontId="114" fillId="0" borderId="15" xfId="70" applyFont="1" applyBorder="1">
      <alignment vertical="center"/>
      <protection/>
    </xf>
    <xf numFmtId="0" fontId="114" fillId="0" borderId="33" xfId="70" applyFont="1" applyBorder="1">
      <alignment vertical="center"/>
      <protection/>
    </xf>
    <xf numFmtId="0" fontId="114" fillId="0" borderId="12" xfId="70" applyFont="1" applyBorder="1">
      <alignment vertical="center"/>
      <protection/>
    </xf>
    <xf numFmtId="0" fontId="114" fillId="0" borderId="12" xfId="70" applyFont="1" applyBorder="1" applyAlignment="1">
      <alignment vertical="center" wrapText="1"/>
      <protection/>
    </xf>
    <xf numFmtId="0" fontId="135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0" fontId="132" fillId="0" borderId="74" xfId="0" applyFont="1" applyBorder="1" applyAlignment="1">
      <alignment horizontal="center" vertical="center"/>
    </xf>
    <xf numFmtId="216" fontId="132" fillId="0" borderId="75" xfId="0" applyNumberFormat="1" applyFont="1" applyBorder="1" applyAlignment="1">
      <alignment horizontal="center" vertical="center"/>
    </xf>
    <xf numFmtId="0" fontId="132" fillId="0" borderId="68" xfId="0" applyFont="1" applyBorder="1" applyAlignment="1">
      <alignment vertical="center"/>
    </xf>
    <xf numFmtId="217" fontId="136" fillId="0" borderId="17" xfId="0" applyNumberFormat="1" applyFont="1" applyBorder="1" applyAlignment="1">
      <alignment horizontal="center" vertical="center"/>
    </xf>
    <xf numFmtId="0" fontId="132" fillId="0" borderId="23" xfId="0" applyFont="1" applyBorder="1" applyAlignment="1">
      <alignment vertical="center"/>
    </xf>
    <xf numFmtId="217" fontId="136" fillId="0" borderId="12" xfId="0" applyNumberFormat="1" applyFont="1" applyBorder="1" applyAlignment="1">
      <alignment horizontal="center" vertical="center"/>
    </xf>
    <xf numFmtId="0" fontId="132" fillId="0" borderId="50" xfId="0" applyFont="1" applyBorder="1" applyAlignment="1">
      <alignment vertical="center"/>
    </xf>
    <xf numFmtId="0" fontId="13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9" fillId="0" borderId="0" xfId="0" applyFont="1" applyBorder="1" applyAlignment="1">
      <alignment vertical="center"/>
    </xf>
    <xf numFmtId="0" fontId="132" fillId="0" borderId="12" xfId="0" applyFont="1" applyBorder="1" applyAlignment="1">
      <alignment horizontal="center" vertical="center"/>
    </xf>
    <xf numFmtId="219" fontId="132" fillId="0" borderId="12" xfId="0" applyNumberFormat="1" applyFont="1" applyBorder="1" applyAlignment="1">
      <alignment vertical="center"/>
    </xf>
    <xf numFmtId="218" fontId="132" fillId="0" borderId="12" xfId="0" applyNumberFormat="1" applyFont="1" applyBorder="1" applyAlignment="1">
      <alignment vertical="center"/>
    </xf>
    <xf numFmtId="9" fontId="132" fillId="0" borderId="12" xfId="0" applyNumberFormat="1" applyFont="1" applyBorder="1" applyAlignment="1">
      <alignment vertical="center"/>
    </xf>
    <xf numFmtId="0" fontId="132" fillId="0" borderId="0" xfId="0" applyFont="1" applyBorder="1" applyAlignment="1">
      <alignment horizontal="center" vertical="center"/>
    </xf>
    <xf numFmtId="220" fontId="132" fillId="0" borderId="12" xfId="0" applyNumberFormat="1" applyFont="1" applyBorder="1" applyAlignment="1">
      <alignment vertical="center"/>
    </xf>
    <xf numFmtId="0" fontId="132" fillId="46" borderId="12" xfId="0" applyFont="1" applyFill="1" applyBorder="1" applyAlignment="1">
      <alignment vertical="center"/>
    </xf>
    <xf numFmtId="0" fontId="137" fillId="46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7" fillId="34" borderId="12" xfId="0" applyFont="1" applyFill="1" applyBorder="1" applyAlignment="1">
      <alignment horizontal="center" vertical="center"/>
    </xf>
    <xf numFmtId="0" fontId="107" fillId="33" borderId="12" xfId="0" applyFont="1" applyFill="1" applyBorder="1" applyAlignment="1">
      <alignment horizontal="center" vertical="center"/>
    </xf>
    <xf numFmtId="0" fontId="23" fillId="0" borderId="0" xfId="71" applyFont="1">
      <alignment vertical="center"/>
      <protection/>
    </xf>
    <xf numFmtId="0" fontId="23" fillId="0" borderId="76" xfId="71" applyFont="1" applyBorder="1" applyAlignment="1" applyProtection="1">
      <alignment horizontal="left" vertical="center"/>
      <protection locked="0"/>
    </xf>
    <xf numFmtId="0" fontId="23" fillId="0" borderId="19" xfId="71" applyFont="1" applyBorder="1" applyAlignment="1" applyProtection="1">
      <alignment horizontal="left" vertical="center"/>
      <protection locked="0"/>
    </xf>
    <xf numFmtId="0" fontId="22" fillId="39" borderId="12" xfId="71" applyFont="1" applyFill="1" applyBorder="1">
      <alignment vertical="center"/>
      <protection/>
    </xf>
    <xf numFmtId="0" fontId="22" fillId="40" borderId="12" xfId="71" applyFont="1" applyFill="1" applyBorder="1">
      <alignment vertical="center"/>
      <protection/>
    </xf>
    <xf numFmtId="0" fontId="23" fillId="0" borderId="21" xfId="71" applyFont="1" applyBorder="1" applyAlignment="1" applyProtection="1">
      <alignment horizontal="left" vertical="center"/>
      <protection locked="0"/>
    </xf>
    <xf numFmtId="0" fontId="22" fillId="47" borderId="12" xfId="71" applyFont="1" applyFill="1" applyBorder="1" applyAlignment="1">
      <alignment horizontal="center" vertical="center"/>
      <protection/>
    </xf>
    <xf numFmtId="0" fontId="22" fillId="47" borderId="32" xfId="71" applyFont="1" applyFill="1" applyBorder="1" applyAlignment="1">
      <alignment horizontal="center" vertical="center"/>
      <protection/>
    </xf>
    <xf numFmtId="0" fontId="23" fillId="0" borderId="68" xfId="71" applyFont="1" applyBorder="1" applyAlignment="1">
      <alignment horizontal="center" vertical="center"/>
      <protection/>
    </xf>
    <xf numFmtId="0" fontId="23" fillId="0" borderId="17" xfId="71" applyFont="1" applyBorder="1" applyAlignment="1">
      <alignment horizontal="left" vertical="center"/>
      <protection/>
    </xf>
    <xf numFmtId="0" fontId="23" fillId="0" borderId="23" xfId="71" applyFont="1" applyBorder="1" applyAlignment="1">
      <alignment horizontal="center" vertical="center"/>
      <protection/>
    </xf>
    <xf numFmtId="0" fontId="23" fillId="0" borderId="12" xfId="71" applyFont="1" applyBorder="1" applyAlignment="1">
      <alignment horizontal="left" vertical="center"/>
      <protection/>
    </xf>
    <xf numFmtId="0" fontId="23" fillId="0" borderId="50" xfId="71" applyFont="1" applyBorder="1" applyAlignment="1">
      <alignment horizontal="center" vertical="center"/>
      <protection/>
    </xf>
    <xf numFmtId="0" fontId="23" fillId="0" borderId="32" xfId="71" applyFont="1" applyBorder="1" applyAlignment="1">
      <alignment horizontal="left" vertical="center"/>
      <protection/>
    </xf>
    <xf numFmtId="0" fontId="23" fillId="0" borderId="18" xfId="71" applyFont="1" applyBorder="1">
      <alignment vertical="center"/>
      <protection/>
    </xf>
    <xf numFmtId="208" fontId="23" fillId="0" borderId="77" xfId="71" applyNumberFormat="1" applyFont="1" applyBorder="1">
      <alignment vertical="center"/>
      <protection/>
    </xf>
    <xf numFmtId="0" fontId="23" fillId="0" borderId="57" xfId="71" applyFont="1" applyBorder="1" applyAlignment="1">
      <alignment horizontal="center" vertical="center"/>
      <protection/>
    </xf>
    <xf numFmtId="0" fontId="129" fillId="0" borderId="0" xfId="70" applyFont="1">
      <alignment vertical="center"/>
      <protection/>
    </xf>
    <xf numFmtId="0" fontId="136" fillId="0" borderId="12" xfId="70" applyFont="1" applyBorder="1" applyAlignment="1">
      <alignment vertical="center" wrapText="1"/>
      <protection/>
    </xf>
    <xf numFmtId="0" fontId="22" fillId="0" borderId="0" xfId="71" applyFont="1">
      <alignment vertical="center"/>
      <protection/>
    </xf>
    <xf numFmtId="0" fontId="23" fillId="0" borderId="35" xfId="71" applyFont="1" applyBorder="1" applyAlignment="1" applyProtection="1">
      <alignment horizontal="left" vertical="center"/>
      <protection locked="0"/>
    </xf>
    <xf numFmtId="0" fontId="23" fillId="0" borderId="32" xfId="71" applyFont="1" applyBorder="1" applyAlignment="1" applyProtection="1">
      <alignment horizontal="center" vertical="center"/>
      <protection locked="0"/>
    </xf>
    <xf numFmtId="0" fontId="23" fillId="0" borderId="32" xfId="71" applyFont="1" applyBorder="1" applyAlignment="1" applyProtection="1">
      <alignment horizontal="right" vertical="center"/>
      <protection locked="0"/>
    </xf>
    <xf numFmtId="0" fontId="22" fillId="0" borderId="14" xfId="71" applyFont="1" applyBorder="1" applyAlignment="1">
      <alignment horizontal="left" vertical="center"/>
      <protection/>
    </xf>
    <xf numFmtId="0" fontId="22" fillId="0" borderId="0" xfId="71" applyFont="1" applyAlignment="1">
      <alignment horizontal="center" vertical="center"/>
      <protection/>
    </xf>
    <xf numFmtId="0" fontId="24" fillId="39" borderId="58" xfId="71" applyFont="1" applyFill="1" applyBorder="1" applyAlignment="1">
      <alignment horizontal="center" vertical="center"/>
      <protection/>
    </xf>
    <xf numFmtId="0" fontId="24" fillId="39" borderId="1" xfId="71" applyFont="1" applyFill="1" applyBorder="1" applyAlignment="1">
      <alignment horizontal="center" vertical="center"/>
      <protection/>
    </xf>
    <xf numFmtId="0" fontId="24" fillId="39" borderId="59" xfId="71" applyFont="1" applyFill="1" applyBorder="1" applyAlignment="1">
      <alignment horizontal="center" vertical="center"/>
      <protection/>
    </xf>
    <xf numFmtId="0" fontId="24" fillId="40" borderId="58" xfId="71" applyFont="1" applyFill="1" applyBorder="1" applyAlignment="1">
      <alignment horizontal="center" vertical="center"/>
      <protection/>
    </xf>
    <xf numFmtId="0" fontId="24" fillId="40" borderId="1" xfId="71" applyFont="1" applyFill="1" applyBorder="1" applyAlignment="1">
      <alignment horizontal="center" vertical="center"/>
      <protection/>
    </xf>
    <xf numFmtId="0" fontId="24" fillId="40" borderId="59" xfId="71" applyFont="1" applyFill="1" applyBorder="1" applyAlignment="1">
      <alignment horizontal="center" vertical="center"/>
      <protection/>
    </xf>
    <xf numFmtId="0" fontId="22" fillId="39" borderId="78" xfId="71" applyFont="1" applyFill="1" applyBorder="1" applyAlignment="1">
      <alignment horizontal="center" vertical="center"/>
      <protection/>
    </xf>
    <xf numFmtId="0" fontId="22" fillId="39" borderId="33" xfId="71" applyFont="1" applyFill="1" applyBorder="1" applyAlignment="1">
      <alignment horizontal="center" vertical="center"/>
      <protection/>
    </xf>
    <xf numFmtId="0" fontId="23" fillId="0" borderId="16" xfId="71" applyFont="1" applyBorder="1" applyAlignment="1" applyProtection="1">
      <alignment horizontal="center" vertical="center"/>
      <protection locked="0"/>
    </xf>
    <xf numFmtId="0" fontId="23" fillId="0" borderId="41" xfId="71" applyFont="1" applyBorder="1" applyAlignment="1" applyProtection="1">
      <alignment horizontal="center" vertical="center"/>
      <protection locked="0"/>
    </xf>
    <xf numFmtId="0" fontId="22" fillId="40" borderId="78" xfId="71" applyFont="1" applyFill="1" applyBorder="1" applyAlignment="1">
      <alignment horizontal="center" vertical="center"/>
      <protection/>
    </xf>
    <xf numFmtId="0" fontId="22" fillId="40" borderId="33" xfId="71" applyFont="1" applyFill="1" applyBorder="1" applyAlignment="1">
      <alignment horizontal="center" vertical="center"/>
      <protection/>
    </xf>
    <xf numFmtId="0" fontId="23" fillId="0" borderId="79" xfId="71" applyFont="1" applyBorder="1" applyAlignment="1" applyProtection="1">
      <alignment horizontal="center" vertical="center"/>
      <protection locked="0"/>
    </xf>
    <xf numFmtId="0" fontId="23" fillId="0" borderId="54" xfId="71" applyFont="1" applyBorder="1" applyAlignment="1" applyProtection="1">
      <alignment horizontal="center" vertical="center"/>
      <protection locked="0"/>
    </xf>
    <xf numFmtId="0" fontId="22" fillId="39" borderId="23" xfId="71" applyFont="1" applyFill="1" applyBorder="1" applyAlignment="1">
      <alignment horizontal="center" vertical="center"/>
      <protection/>
    </xf>
    <xf numFmtId="0" fontId="22" fillId="39" borderId="12" xfId="71" applyFont="1" applyFill="1" applyBorder="1" applyAlignment="1">
      <alignment horizontal="center" vertical="center"/>
      <protection/>
    </xf>
    <xf numFmtId="0" fontId="23" fillId="0" borderId="21" xfId="71" applyFont="1" applyBorder="1" applyAlignment="1" applyProtection="1">
      <alignment horizontal="center" vertical="center"/>
      <protection locked="0"/>
    </xf>
    <xf numFmtId="0" fontId="23" fillId="0" borderId="36" xfId="71" applyFont="1" applyBorder="1" applyAlignment="1" applyProtection="1">
      <alignment horizontal="center" vertical="center"/>
      <protection locked="0"/>
    </xf>
    <xf numFmtId="0" fontId="22" fillId="40" borderId="23" xfId="71" applyFont="1" applyFill="1" applyBorder="1" applyAlignment="1">
      <alignment horizontal="center" vertical="center"/>
      <protection/>
    </xf>
    <xf numFmtId="0" fontId="22" fillId="40" borderId="12" xfId="71" applyFont="1" applyFill="1" applyBorder="1" applyAlignment="1">
      <alignment horizontal="center" vertical="center"/>
      <protection/>
    </xf>
    <xf numFmtId="0" fontId="23" fillId="0" borderId="2" xfId="71" applyFont="1" applyBorder="1" applyAlignment="1" applyProtection="1">
      <alignment horizontal="center" vertical="center"/>
      <protection locked="0"/>
    </xf>
    <xf numFmtId="0" fontId="23" fillId="0" borderId="42" xfId="71" applyFont="1" applyBorder="1" applyAlignment="1" applyProtection="1">
      <alignment horizontal="center" vertical="center"/>
      <protection locked="0"/>
    </xf>
    <xf numFmtId="0" fontId="22" fillId="39" borderId="23" xfId="71" applyFont="1" applyFill="1" applyBorder="1" applyAlignment="1">
      <alignment horizontal="center" vertical="center" wrapText="1"/>
      <protection/>
    </xf>
    <xf numFmtId="187" fontId="23" fillId="0" borderId="21" xfId="71" applyNumberFormat="1" applyFont="1" applyBorder="1" applyAlignment="1" applyProtection="1">
      <alignment horizontal="left" vertical="center"/>
      <protection locked="0"/>
    </xf>
    <xf numFmtId="187" fontId="23" fillId="0" borderId="2" xfId="71" applyNumberFormat="1" applyFont="1" applyBorder="1" applyAlignment="1" applyProtection="1">
      <alignment horizontal="left" vertical="center"/>
      <protection locked="0"/>
    </xf>
    <xf numFmtId="187" fontId="23" fillId="0" borderId="42" xfId="71" applyNumberFormat="1" applyFont="1" applyBorder="1" applyAlignment="1" applyProtection="1">
      <alignment horizontal="left" vertical="center"/>
      <protection locked="0"/>
    </xf>
    <xf numFmtId="0" fontId="22" fillId="40" borderId="23" xfId="71" applyFont="1" applyFill="1" applyBorder="1" applyAlignment="1">
      <alignment horizontal="center" vertical="center" wrapText="1"/>
      <protection/>
    </xf>
    <xf numFmtId="0" fontId="23" fillId="0" borderId="21" xfId="71" applyFont="1" applyBorder="1" applyAlignment="1" applyProtection="1">
      <alignment horizontal="left" vertical="center"/>
      <protection locked="0"/>
    </xf>
    <xf numFmtId="0" fontId="23" fillId="0" borderId="2" xfId="71" applyFont="1" applyBorder="1" applyAlignment="1" applyProtection="1">
      <alignment horizontal="left" vertical="center"/>
      <protection locked="0"/>
    </xf>
    <xf numFmtId="0" fontId="23" fillId="0" borderId="42" xfId="71" applyFont="1" applyBorder="1" applyAlignment="1" applyProtection="1">
      <alignment horizontal="left" vertical="center"/>
      <protection locked="0"/>
    </xf>
    <xf numFmtId="188" fontId="23" fillId="0" borderId="21" xfId="71" applyNumberFormat="1" applyFont="1" applyBorder="1" applyAlignment="1" applyProtection="1">
      <alignment horizontal="left" vertical="center"/>
      <protection locked="0"/>
    </xf>
    <xf numFmtId="188" fontId="23" fillId="0" borderId="2" xfId="71" applyNumberFormat="1" applyFont="1" applyBorder="1" applyAlignment="1" applyProtection="1">
      <alignment horizontal="left" vertical="center"/>
      <protection locked="0"/>
    </xf>
    <xf numFmtId="188" fontId="23" fillId="0" borderId="42" xfId="71" applyNumberFormat="1" applyFont="1" applyBorder="1" applyAlignment="1" applyProtection="1">
      <alignment horizontal="left" vertical="center"/>
      <protection locked="0"/>
    </xf>
    <xf numFmtId="0" fontId="22" fillId="39" borderId="80" xfId="71" applyFont="1" applyFill="1" applyBorder="1" applyAlignment="1">
      <alignment horizontal="center" vertical="center"/>
      <protection/>
    </xf>
    <xf numFmtId="0" fontId="22" fillId="39" borderId="15" xfId="71" applyFont="1" applyFill="1" applyBorder="1" applyAlignment="1">
      <alignment horizontal="center" vertical="center"/>
      <protection/>
    </xf>
    <xf numFmtId="0" fontId="24" fillId="47" borderId="53" xfId="71" applyFont="1" applyFill="1" applyBorder="1" applyAlignment="1">
      <alignment horizontal="center" vertical="center"/>
      <protection/>
    </xf>
    <xf numFmtId="0" fontId="24" fillId="47" borderId="79" xfId="71" applyFont="1" applyFill="1" applyBorder="1" applyAlignment="1">
      <alignment horizontal="center" vertical="center"/>
      <protection/>
    </xf>
    <xf numFmtId="0" fontId="138" fillId="47" borderId="79" xfId="71" applyFont="1" applyFill="1" applyBorder="1" applyAlignment="1">
      <alignment horizontal="right" vertical="center"/>
      <protection/>
    </xf>
    <xf numFmtId="0" fontId="24" fillId="47" borderId="79" xfId="71" applyFont="1" applyFill="1" applyBorder="1" applyAlignment="1">
      <alignment horizontal="right" vertical="center"/>
      <protection/>
    </xf>
    <xf numFmtId="0" fontId="24" fillId="47" borderId="54" xfId="71" applyFont="1" applyFill="1" applyBorder="1" applyAlignment="1">
      <alignment horizontal="right" vertical="center"/>
      <protection/>
    </xf>
    <xf numFmtId="0" fontId="22" fillId="47" borderId="55" xfId="71" applyFont="1" applyFill="1" applyBorder="1" applyAlignment="1">
      <alignment horizontal="center" vertical="center"/>
      <protection/>
    </xf>
    <xf numFmtId="0" fontId="22" fillId="47" borderId="36" xfId="71" applyFont="1" applyFill="1" applyBorder="1" applyAlignment="1">
      <alignment horizontal="center" vertical="center"/>
      <protection/>
    </xf>
    <xf numFmtId="183" fontId="23" fillId="0" borderId="21" xfId="71" applyNumberFormat="1" applyFont="1" applyBorder="1" applyAlignment="1" applyProtection="1">
      <alignment horizontal="center" vertical="center"/>
      <protection locked="0"/>
    </xf>
    <xf numFmtId="183" fontId="23" fillId="0" borderId="36" xfId="71" applyNumberFormat="1" applyFont="1" applyBorder="1" applyAlignment="1" applyProtection="1">
      <alignment horizontal="center" vertical="center"/>
      <protection locked="0"/>
    </xf>
    <xf numFmtId="188" fontId="23" fillId="0" borderId="21" xfId="71" applyNumberFormat="1" applyFont="1" applyBorder="1" applyAlignment="1" applyProtection="1">
      <alignment horizontal="center" vertical="center"/>
      <protection locked="0"/>
    </xf>
    <xf numFmtId="188" fontId="23" fillId="0" borderId="2" xfId="71" applyNumberFormat="1" applyFont="1" applyBorder="1" applyAlignment="1" applyProtection="1">
      <alignment horizontal="center" vertical="center"/>
      <protection locked="0"/>
    </xf>
    <xf numFmtId="188" fontId="23" fillId="0" borderId="36" xfId="71" applyNumberFormat="1" applyFont="1" applyBorder="1" applyAlignment="1" applyProtection="1">
      <alignment horizontal="center" vertical="center"/>
      <protection locked="0"/>
    </xf>
    <xf numFmtId="0" fontId="22" fillId="47" borderId="21" xfId="71" applyFont="1" applyFill="1" applyBorder="1" applyAlignment="1">
      <alignment horizontal="center" vertical="center"/>
      <protection/>
    </xf>
    <xf numFmtId="183" fontId="23" fillId="0" borderId="18" xfId="71" applyNumberFormat="1" applyFont="1" applyBorder="1" applyAlignment="1" applyProtection="1">
      <alignment horizontal="center" vertical="center"/>
      <protection locked="0"/>
    </xf>
    <xf numFmtId="183" fontId="23" fillId="0" borderId="81" xfId="71" applyNumberFormat="1" applyFont="1" applyBorder="1" applyAlignment="1" applyProtection="1">
      <alignment horizontal="center" vertical="center"/>
      <protection locked="0"/>
    </xf>
    <xf numFmtId="0" fontId="24" fillId="48" borderId="60" xfId="71" applyFont="1" applyFill="1" applyBorder="1" applyAlignment="1">
      <alignment horizontal="center" vertical="center"/>
      <protection/>
    </xf>
    <xf numFmtId="0" fontId="24" fillId="48" borderId="82" xfId="71" applyFont="1" applyFill="1" applyBorder="1" applyAlignment="1">
      <alignment horizontal="center" vertical="center"/>
      <protection/>
    </xf>
    <xf numFmtId="0" fontId="24" fillId="48" borderId="83" xfId="71" applyFont="1" applyFill="1" applyBorder="1" applyAlignment="1">
      <alignment horizontal="center" vertical="center"/>
      <protection/>
    </xf>
    <xf numFmtId="0" fontId="22" fillId="48" borderId="60" xfId="71" applyFont="1" applyFill="1" applyBorder="1" applyAlignment="1">
      <alignment horizontal="center" vertical="center"/>
      <protection/>
    </xf>
    <xf numFmtId="0" fontId="22" fillId="48" borderId="82" xfId="71" applyFont="1" applyFill="1" applyBorder="1" applyAlignment="1">
      <alignment horizontal="center" vertical="center"/>
      <protection/>
    </xf>
    <xf numFmtId="0" fontId="22" fillId="48" borderId="61" xfId="71" applyFont="1" applyFill="1" applyBorder="1" applyAlignment="1">
      <alignment horizontal="center" vertical="center"/>
      <protection/>
    </xf>
    <xf numFmtId="0" fontId="22" fillId="48" borderId="0" xfId="71" applyFont="1" applyFill="1" applyAlignment="1">
      <alignment horizontal="center" vertical="center"/>
      <protection/>
    </xf>
    <xf numFmtId="0" fontId="22" fillId="48" borderId="65" xfId="71" applyFont="1" applyFill="1" applyBorder="1" applyAlignment="1">
      <alignment horizontal="center" vertical="center"/>
      <protection/>
    </xf>
    <xf numFmtId="0" fontId="22" fillId="48" borderId="14" xfId="71" applyFont="1" applyFill="1" applyBorder="1" applyAlignment="1">
      <alignment horizontal="center" vertical="center"/>
      <protection/>
    </xf>
    <xf numFmtId="0" fontId="23" fillId="0" borderId="17" xfId="71" applyFont="1" applyBorder="1" applyAlignment="1">
      <alignment horizontal="left" vertical="center"/>
      <protection/>
    </xf>
    <xf numFmtId="0" fontId="23" fillId="0" borderId="24" xfId="71" applyFont="1" applyBorder="1" applyAlignment="1">
      <alignment horizontal="left" vertical="center"/>
      <protection/>
    </xf>
    <xf numFmtId="0" fontId="23" fillId="0" borderId="12" xfId="71" applyFont="1" applyBorder="1" applyAlignment="1">
      <alignment horizontal="center" vertical="center"/>
      <protection/>
    </xf>
    <xf numFmtId="0" fontId="23" fillId="0" borderId="19" xfId="71" applyFont="1" applyBorder="1" applyAlignment="1">
      <alignment horizontal="center" vertical="center"/>
      <protection/>
    </xf>
    <xf numFmtId="0" fontId="23" fillId="0" borderId="32" xfId="71" applyFont="1" applyBorder="1" applyAlignment="1">
      <alignment horizontal="center" vertical="center"/>
      <protection/>
    </xf>
    <xf numFmtId="0" fontId="22" fillId="48" borderId="84" xfId="71" applyFont="1" applyFill="1" applyBorder="1" applyAlignment="1">
      <alignment horizontal="center" vertical="center"/>
      <protection/>
    </xf>
    <xf numFmtId="0" fontId="22" fillId="48" borderId="38" xfId="71" applyFont="1" applyFill="1" applyBorder="1" applyAlignment="1">
      <alignment horizontal="center" vertical="center"/>
      <protection/>
    </xf>
    <xf numFmtId="0" fontId="22" fillId="48" borderId="69" xfId="71" applyFont="1" applyFill="1" applyBorder="1" applyAlignment="1">
      <alignment horizontal="center" vertical="center"/>
      <protection/>
    </xf>
    <xf numFmtId="0" fontId="139" fillId="0" borderId="35" xfId="71" applyFont="1" applyBorder="1" applyAlignment="1">
      <alignment horizontal="left" vertical="center"/>
      <protection/>
    </xf>
    <xf numFmtId="0" fontId="139" fillId="0" borderId="39" xfId="71" applyFont="1" applyBorder="1" applyAlignment="1">
      <alignment horizontal="left" vertical="center"/>
      <protection/>
    </xf>
    <xf numFmtId="0" fontId="139" fillId="0" borderId="64" xfId="71" applyFont="1" applyBorder="1" applyAlignment="1">
      <alignment horizontal="left" vertical="center"/>
      <protection/>
    </xf>
    <xf numFmtId="0" fontId="25" fillId="0" borderId="21" xfId="71" applyFont="1" applyBorder="1" applyAlignment="1">
      <alignment horizontal="left" vertical="center"/>
      <protection/>
    </xf>
    <xf numFmtId="0" fontId="25" fillId="0" borderId="2" xfId="71" applyFont="1" applyBorder="1" applyAlignment="1">
      <alignment horizontal="left" vertical="center"/>
      <protection/>
    </xf>
    <xf numFmtId="0" fontId="25" fillId="0" borderId="42" xfId="71" applyFont="1" applyBorder="1" applyAlignment="1">
      <alignment horizontal="left" vertical="center"/>
      <protection/>
    </xf>
    <xf numFmtId="0" fontId="23" fillId="0" borderId="18" xfId="71" applyFont="1" applyBorder="1" applyAlignment="1">
      <alignment horizontal="center" vertical="center"/>
      <protection/>
    </xf>
    <xf numFmtId="0" fontId="23" fillId="0" borderId="77" xfId="71" applyFont="1" applyBorder="1" applyAlignment="1">
      <alignment horizontal="center" vertical="center"/>
      <protection/>
    </xf>
    <xf numFmtId="0" fontId="23" fillId="0" borderId="57" xfId="71" applyFont="1" applyBorder="1" applyAlignment="1">
      <alignment horizontal="center" vertical="center"/>
      <protection/>
    </xf>
    <xf numFmtId="0" fontId="22" fillId="48" borderId="62" xfId="71" applyFont="1" applyFill="1" applyBorder="1" applyAlignment="1">
      <alignment horizontal="center" vertical="center"/>
      <protection/>
    </xf>
    <xf numFmtId="0" fontId="22" fillId="48" borderId="20" xfId="71" applyFont="1" applyFill="1" applyBorder="1" applyAlignment="1">
      <alignment horizontal="center" vertical="center"/>
      <protection/>
    </xf>
    <xf numFmtId="0" fontId="139" fillId="0" borderId="16" xfId="71" applyFont="1" applyBorder="1" applyAlignment="1">
      <alignment horizontal="left" vertical="center"/>
      <protection/>
    </xf>
    <xf numFmtId="0" fontId="139" fillId="0" borderId="79" xfId="71" applyFont="1" applyBorder="1" applyAlignment="1">
      <alignment horizontal="left" vertical="center"/>
      <protection/>
    </xf>
    <xf numFmtId="0" fontId="139" fillId="0" borderId="54" xfId="71" applyFont="1" applyBorder="1" applyAlignment="1">
      <alignment horizontal="left" vertical="center"/>
      <protection/>
    </xf>
    <xf numFmtId="0" fontId="22" fillId="48" borderId="60" xfId="71" applyFont="1" applyFill="1" applyBorder="1" applyAlignment="1">
      <alignment horizontal="center" vertical="center" wrapText="1"/>
      <protection/>
    </xf>
    <xf numFmtId="0" fontId="22" fillId="48" borderId="61" xfId="71" applyFont="1" applyFill="1" applyBorder="1" applyAlignment="1">
      <alignment horizontal="center" vertical="center" wrapText="1"/>
      <protection/>
    </xf>
    <xf numFmtId="0" fontId="22" fillId="48" borderId="68" xfId="71" applyFont="1" applyFill="1" applyBorder="1" applyAlignment="1">
      <alignment horizontal="center" vertical="center" wrapText="1"/>
      <protection/>
    </xf>
    <xf numFmtId="0" fontId="22" fillId="48" borderId="17" xfId="71" applyFont="1" applyFill="1" applyBorder="1" applyAlignment="1">
      <alignment horizontal="center" vertical="center"/>
      <protection/>
    </xf>
    <xf numFmtId="0" fontId="22" fillId="48" borderId="23" xfId="71" applyFont="1" applyFill="1" applyBorder="1" applyAlignment="1">
      <alignment horizontal="center" vertical="center"/>
      <protection/>
    </xf>
    <xf numFmtId="0" fontId="22" fillId="48" borderId="12" xfId="71" applyFont="1" applyFill="1" applyBorder="1" applyAlignment="1">
      <alignment horizontal="center" vertical="center"/>
      <protection/>
    </xf>
    <xf numFmtId="0" fontId="22" fillId="48" borderId="50" xfId="71" applyFont="1" applyFill="1" applyBorder="1" applyAlignment="1">
      <alignment horizontal="center" vertical="center"/>
      <protection/>
    </xf>
    <xf numFmtId="0" fontId="22" fillId="48" borderId="32" xfId="71" applyFont="1" applyFill="1" applyBorder="1" applyAlignment="1">
      <alignment horizontal="center" vertical="center"/>
      <protection/>
    </xf>
    <xf numFmtId="0" fontId="23" fillId="0" borderId="16" xfId="71" applyFont="1" applyBorder="1" applyAlignment="1" applyProtection="1">
      <alignment horizontal="left" vertical="center"/>
      <protection locked="0"/>
    </xf>
    <xf numFmtId="0" fontId="23" fillId="0" borderId="79" xfId="71" applyFont="1" applyBorder="1" applyAlignment="1" applyProtection="1">
      <alignment horizontal="left" vertical="center"/>
      <protection locked="0"/>
    </xf>
    <xf numFmtId="0" fontId="23" fillId="0" borderId="54" xfId="71" applyFont="1" applyBorder="1" applyAlignment="1" applyProtection="1">
      <alignment horizontal="left" vertical="center"/>
      <protection locked="0"/>
    </xf>
    <xf numFmtId="0" fontId="23" fillId="0" borderId="18" xfId="71" applyFont="1" applyBorder="1" applyAlignment="1" applyProtection="1">
      <alignment horizontal="left" vertical="center"/>
      <protection locked="0"/>
    </xf>
    <xf numFmtId="0" fontId="23" fillId="0" borderId="77" xfId="71" applyFont="1" applyBorder="1" applyAlignment="1" applyProtection="1">
      <alignment horizontal="left" vertical="center"/>
      <protection locked="0"/>
    </xf>
    <xf numFmtId="0" fontId="23" fillId="0" borderId="57" xfId="71" applyFont="1" applyBorder="1" applyAlignment="1" applyProtection="1">
      <alignment horizontal="left" vertical="center"/>
      <protection locked="0"/>
    </xf>
    <xf numFmtId="0" fontId="23" fillId="0" borderId="61" xfId="71" applyFont="1" applyBorder="1" applyAlignment="1" applyProtection="1">
      <alignment horizontal="left" vertical="top" wrapText="1"/>
      <protection locked="0"/>
    </xf>
    <xf numFmtId="0" fontId="23" fillId="0" borderId="0" xfId="71" applyFont="1" applyAlignment="1" applyProtection="1">
      <alignment horizontal="left" vertical="top" wrapText="1"/>
      <protection locked="0"/>
    </xf>
    <xf numFmtId="0" fontId="23" fillId="0" borderId="85" xfId="71" applyFont="1" applyBorder="1" applyAlignment="1" applyProtection="1">
      <alignment horizontal="left" vertical="top" wrapText="1"/>
      <protection locked="0"/>
    </xf>
    <xf numFmtId="0" fontId="23" fillId="0" borderId="65" xfId="71" applyFont="1" applyBorder="1" applyAlignment="1" applyProtection="1">
      <alignment horizontal="left" vertical="top" wrapText="1"/>
      <protection locked="0"/>
    </xf>
    <xf numFmtId="0" fontId="23" fillId="0" borderId="14" xfId="71" applyFont="1" applyBorder="1" applyAlignment="1" applyProtection="1">
      <alignment horizontal="left" vertical="top" wrapText="1"/>
      <protection locked="0"/>
    </xf>
    <xf numFmtId="0" fontId="23" fillId="0" borderId="86" xfId="71" applyFont="1" applyBorder="1" applyAlignment="1" applyProtection="1">
      <alignment horizontal="left" vertical="top" wrapText="1"/>
      <protection locked="0"/>
    </xf>
    <xf numFmtId="0" fontId="22" fillId="48" borderId="83" xfId="71" applyFont="1" applyFill="1" applyBorder="1" applyAlignment="1">
      <alignment horizontal="center" vertical="center"/>
      <protection/>
    </xf>
    <xf numFmtId="0" fontId="26" fillId="0" borderId="60" xfId="71" applyFont="1" applyBorder="1" applyAlignment="1">
      <alignment horizontal="center" vertical="center"/>
      <protection/>
    </xf>
    <xf numFmtId="0" fontId="26" fillId="0" borderId="82" xfId="71" applyFont="1" applyBorder="1" applyAlignment="1">
      <alignment horizontal="center" vertical="center"/>
      <protection/>
    </xf>
    <xf numFmtId="0" fontId="26" fillId="0" borderId="83" xfId="71" applyFont="1" applyBorder="1" applyAlignment="1">
      <alignment horizontal="center" vertical="center"/>
      <protection/>
    </xf>
    <xf numFmtId="0" fontId="22" fillId="49" borderId="87" xfId="71" applyFont="1" applyFill="1" applyBorder="1" applyAlignment="1">
      <alignment horizontal="center" vertical="center"/>
      <protection/>
    </xf>
    <xf numFmtId="0" fontId="22" fillId="49" borderId="43" xfId="71" applyFont="1" applyFill="1" applyBorder="1" applyAlignment="1">
      <alignment horizontal="center" vertical="center"/>
      <protection/>
    </xf>
    <xf numFmtId="0" fontId="22" fillId="49" borderId="22" xfId="71" applyFont="1" applyFill="1" applyBorder="1" applyAlignment="1">
      <alignment horizontal="center" vertical="center"/>
      <protection/>
    </xf>
    <xf numFmtId="0" fontId="22" fillId="49" borderId="78" xfId="71" applyFont="1" applyFill="1" applyBorder="1" applyAlignment="1">
      <alignment horizontal="center" vertical="center"/>
      <protection/>
    </xf>
    <xf numFmtId="0" fontId="22" fillId="49" borderId="33" xfId="71" applyFont="1" applyFill="1" applyBorder="1" applyAlignment="1">
      <alignment horizontal="center" vertical="center"/>
      <protection/>
    </xf>
    <xf numFmtId="188" fontId="23" fillId="0" borderId="33" xfId="71" applyNumberFormat="1" applyFont="1" applyBorder="1" applyAlignment="1" applyProtection="1">
      <alignment horizontal="center" vertical="center"/>
      <protection locked="0"/>
    </xf>
    <xf numFmtId="0" fontId="23" fillId="0" borderId="33" xfId="71" applyFont="1" applyBorder="1" applyAlignment="1" applyProtection="1">
      <alignment horizontal="center" vertical="center"/>
      <protection locked="0"/>
    </xf>
    <xf numFmtId="0" fontId="23" fillId="0" borderId="76" xfId="71" applyFont="1" applyBorder="1" applyAlignment="1" applyProtection="1">
      <alignment horizontal="center" vertical="center"/>
      <protection locked="0"/>
    </xf>
    <xf numFmtId="0" fontId="22" fillId="49" borderId="50" xfId="71" applyFont="1" applyFill="1" applyBorder="1" applyAlignment="1">
      <alignment horizontal="center" vertical="center"/>
      <protection/>
    </xf>
    <xf numFmtId="0" fontId="22" fillId="49" borderId="32" xfId="71" applyFont="1" applyFill="1" applyBorder="1" applyAlignment="1">
      <alignment horizontal="center" vertical="center"/>
      <protection/>
    </xf>
    <xf numFmtId="0" fontId="22" fillId="50" borderId="32" xfId="71" applyFont="1" applyFill="1" applyBorder="1" applyAlignment="1">
      <alignment horizontal="center" vertical="center" wrapText="1"/>
      <protection/>
    </xf>
    <xf numFmtId="0" fontId="22" fillId="50" borderId="49" xfId="71" applyFont="1" applyFill="1" applyBorder="1" applyAlignment="1">
      <alignment horizontal="center" vertical="center" wrapText="1"/>
      <protection/>
    </xf>
    <xf numFmtId="183" fontId="23" fillId="0" borderId="21" xfId="71" applyNumberFormat="1" applyFont="1" applyBorder="1" applyAlignment="1" applyProtection="1">
      <alignment horizontal="left" vertical="center"/>
      <protection locked="0"/>
    </xf>
    <xf numFmtId="183" fontId="23" fillId="0" borderId="42" xfId="71" applyNumberFormat="1" applyFont="1" applyBorder="1" applyAlignment="1" applyProtection="1">
      <alignment horizontal="left" vertical="center"/>
      <protection locked="0"/>
    </xf>
    <xf numFmtId="183" fontId="23" fillId="0" borderId="2" xfId="71" applyNumberFormat="1" applyFont="1" applyBorder="1" applyAlignment="1" applyProtection="1">
      <alignment horizontal="left" vertical="center"/>
      <protection locked="0"/>
    </xf>
    <xf numFmtId="0" fontId="22" fillId="39" borderId="50" xfId="71" applyFont="1" applyFill="1" applyBorder="1" applyAlignment="1">
      <alignment horizontal="center" vertical="center"/>
      <protection/>
    </xf>
    <xf numFmtId="0" fontId="22" fillId="39" borderId="32" xfId="71" applyFont="1" applyFill="1" applyBorder="1" applyAlignment="1">
      <alignment horizontal="center" vertical="center"/>
      <protection/>
    </xf>
    <xf numFmtId="183" fontId="23" fillId="0" borderId="18" xfId="71" applyNumberFormat="1" applyFont="1" applyBorder="1" applyAlignment="1" applyProtection="1">
      <alignment horizontal="left" vertical="center"/>
      <protection locked="0"/>
    </xf>
    <xf numFmtId="183" fontId="23" fillId="0" borderId="57" xfId="71" applyNumberFormat="1" applyFont="1" applyBorder="1" applyAlignment="1" applyProtection="1">
      <alignment horizontal="left" vertical="center"/>
      <protection locked="0"/>
    </xf>
    <xf numFmtId="0" fontId="22" fillId="40" borderId="50" xfId="71" applyFont="1" applyFill="1" applyBorder="1" applyAlignment="1">
      <alignment horizontal="center" vertical="center"/>
      <protection/>
    </xf>
    <xf numFmtId="0" fontId="22" fillId="40" borderId="32" xfId="71" applyFont="1" applyFill="1" applyBorder="1" applyAlignment="1">
      <alignment horizontal="center" vertical="center"/>
      <protection/>
    </xf>
    <xf numFmtId="183" fontId="23" fillId="0" borderId="77" xfId="71" applyNumberFormat="1" applyFont="1" applyBorder="1" applyAlignment="1" applyProtection="1">
      <alignment horizontal="left" vertical="center"/>
      <protection locked="0"/>
    </xf>
    <xf numFmtId="0" fontId="22" fillId="0" borderId="14" xfId="71" applyFont="1" applyBorder="1">
      <alignment vertical="center"/>
      <protection/>
    </xf>
    <xf numFmtId="0" fontId="140" fillId="0" borderId="0" xfId="0" applyFont="1" applyAlignment="1">
      <alignment horizontal="center" vertical="center"/>
    </xf>
    <xf numFmtId="0" fontId="140" fillId="0" borderId="14" xfId="0" applyFont="1" applyBorder="1" applyAlignment="1">
      <alignment horizontal="center" vertical="center"/>
    </xf>
    <xf numFmtId="0" fontId="141" fillId="28" borderId="60" xfId="0" applyFont="1" applyFill="1" applyBorder="1" applyAlignment="1">
      <alignment horizontal="center" vertical="center"/>
    </xf>
    <xf numFmtId="0" fontId="141" fillId="28" borderId="82" xfId="0" applyFont="1" applyFill="1" applyBorder="1" applyAlignment="1">
      <alignment horizontal="center" vertical="center"/>
    </xf>
    <xf numFmtId="0" fontId="141" fillId="28" borderId="83" xfId="0" applyFont="1" applyFill="1" applyBorder="1" applyAlignment="1">
      <alignment horizontal="center" vertical="center"/>
    </xf>
    <xf numFmtId="0" fontId="141" fillId="28" borderId="65" xfId="0" applyFont="1" applyFill="1" applyBorder="1" applyAlignment="1">
      <alignment horizontal="center" vertical="center"/>
    </xf>
    <xf numFmtId="0" fontId="141" fillId="28" borderId="14" xfId="0" applyFont="1" applyFill="1" applyBorder="1" applyAlignment="1">
      <alignment horizontal="center" vertical="center"/>
    </xf>
    <xf numFmtId="0" fontId="141" fillId="28" borderId="8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7" fillId="34" borderId="12" xfId="0" applyFont="1" applyFill="1" applyBorder="1" applyAlignment="1">
      <alignment horizontal="center" vertical="center"/>
    </xf>
    <xf numFmtId="0" fontId="113" fillId="33" borderId="15" xfId="0" applyFont="1" applyFill="1" applyBorder="1" applyAlignment="1">
      <alignment horizontal="center" vertical="center" wrapText="1"/>
    </xf>
    <xf numFmtId="0" fontId="113" fillId="33" borderId="34" xfId="0" applyFont="1" applyFill="1" applyBorder="1" applyAlignment="1">
      <alignment horizontal="center" vertical="center"/>
    </xf>
    <xf numFmtId="0" fontId="113" fillId="33" borderId="33" xfId="0" applyFont="1" applyFill="1" applyBorder="1" applyAlignment="1">
      <alignment horizontal="center" vertical="center"/>
    </xf>
    <xf numFmtId="207" fontId="113" fillId="28" borderId="12" xfId="0" applyNumberFormat="1" applyFont="1" applyFill="1" applyBorder="1" applyAlignment="1">
      <alignment horizontal="right" vertical="center"/>
    </xf>
    <xf numFmtId="0" fontId="142" fillId="33" borderId="12" xfId="0" applyFont="1" applyFill="1" applyBorder="1" applyAlignment="1">
      <alignment horizontal="center" vertical="center"/>
    </xf>
    <xf numFmtId="207" fontId="143" fillId="28" borderId="12" xfId="0" applyNumberFormat="1" applyFont="1" applyFill="1" applyBorder="1" applyAlignment="1">
      <alignment horizontal="center" vertical="center"/>
    </xf>
    <xf numFmtId="0" fontId="143" fillId="33" borderId="12" xfId="0" applyFont="1" applyFill="1" applyBorder="1" applyAlignment="1">
      <alignment horizontal="center" vertical="center"/>
    </xf>
    <xf numFmtId="0" fontId="113" fillId="33" borderId="12" xfId="0" applyFont="1" applyFill="1" applyBorder="1" applyAlignment="1">
      <alignment horizontal="center" vertical="center"/>
    </xf>
    <xf numFmtId="0" fontId="144" fillId="0" borderId="12" xfId="70" applyFont="1" applyBorder="1" applyAlignment="1">
      <alignment horizontal="center" vertical="center"/>
      <protection/>
    </xf>
    <xf numFmtId="0" fontId="129" fillId="0" borderId="15" xfId="70" applyFont="1" applyBorder="1" applyAlignment="1">
      <alignment horizontal="center" vertical="center"/>
      <protection/>
    </xf>
    <xf numFmtId="0" fontId="129" fillId="0" borderId="33" xfId="70" applyFont="1" applyBorder="1" applyAlignment="1">
      <alignment horizontal="center" vertical="center"/>
      <protection/>
    </xf>
    <xf numFmtId="0" fontId="145" fillId="0" borderId="15" xfId="70" applyFont="1" applyBorder="1" applyAlignment="1">
      <alignment horizontal="center" vertical="center"/>
      <protection/>
    </xf>
    <xf numFmtId="0" fontId="145" fillId="0" borderId="33" xfId="70" applyFont="1" applyBorder="1" applyAlignment="1">
      <alignment horizontal="center" vertical="center"/>
      <protection/>
    </xf>
    <xf numFmtId="0" fontId="136" fillId="0" borderId="15" xfId="70" applyFont="1" applyBorder="1" applyAlignment="1">
      <alignment vertical="center" wrapText="1"/>
      <protection/>
    </xf>
    <xf numFmtId="0" fontId="136" fillId="0" borderId="33" xfId="70" applyFont="1" applyBorder="1" applyAlignment="1">
      <alignment vertical="center"/>
      <protection/>
    </xf>
    <xf numFmtId="0" fontId="129" fillId="0" borderId="12" xfId="70" applyFont="1" applyBorder="1" applyAlignment="1">
      <alignment horizontal="center" vertical="center"/>
      <protection/>
    </xf>
    <xf numFmtId="0" fontId="145" fillId="0" borderId="12" xfId="70" applyFont="1" applyBorder="1" applyAlignment="1">
      <alignment horizontal="center" vertical="center"/>
      <protection/>
    </xf>
    <xf numFmtId="0" fontId="136" fillId="0" borderId="12" xfId="70" applyFont="1" applyBorder="1">
      <alignment vertical="center"/>
      <protection/>
    </xf>
    <xf numFmtId="0" fontId="145" fillId="0" borderId="12" xfId="70" applyFont="1" applyBorder="1" applyAlignment="1">
      <alignment horizontal="center" vertical="center" wrapText="1"/>
      <protection/>
    </xf>
    <xf numFmtId="0" fontId="136" fillId="0" borderId="15" xfId="70" applyFont="1" applyBorder="1" applyAlignment="1">
      <alignment horizontal="left" vertical="center" wrapText="1"/>
      <protection/>
    </xf>
    <xf numFmtId="0" fontId="136" fillId="0" borderId="33" xfId="70" applyFont="1" applyBorder="1" applyAlignment="1">
      <alignment horizontal="left" vertical="center"/>
      <protection/>
    </xf>
    <xf numFmtId="203" fontId="146" fillId="0" borderId="21" xfId="0" applyNumberFormat="1" applyFont="1" applyBorder="1" applyAlignment="1">
      <alignment horizontal="center" vertical="center"/>
    </xf>
    <xf numFmtId="203" fontId="146" fillId="0" borderId="36" xfId="0" applyNumberFormat="1" applyFont="1" applyBorder="1" applyAlignment="1">
      <alignment horizontal="center" vertical="center"/>
    </xf>
    <xf numFmtId="49" fontId="147" fillId="41" borderId="60" xfId="0" applyNumberFormat="1" applyFont="1" applyFill="1" applyBorder="1" applyAlignment="1">
      <alignment horizontal="center" vertical="center"/>
    </xf>
    <xf numFmtId="49" fontId="147" fillId="41" borderId="82" xfId="0" applyNumberFormat="1" applyFont="1" applyFill="1" applyBorder="1" applyAlignment="1">
      <alignment horizontal="center" vertical="center"/>
    </xf>
    <xf numFmtId="49" fontId="147" fillId="41" borderId="83" xfId="0" applyNumberFormat="1" applyFont="1" applyFill="1" applyBorder="1" applyAlignment="1">
      <alignment horizontal="center" vertical="center"/>
    </xf>
    <xf numFmtId="49" fontId="147" fillId="41" borderId="65" xfId="0" applyNumberFormat="1" applyFont="1" applyFill="1" applyBorder="1" applyAlignment="1">
      <alignment horizontal="center" vertical="center"/>
    </xf>
    <xf numFmtId="49" fontId="147" fillId="41" borderId="14" xfId="0" applyNumberFormat="1" applyFont="1" applyFill="1" applyBorder="1" applyAlignment="1">
      <alignment horizontal="center" vertical="center"/>
    </xf>
    <xf numFmtId="49" fontId="147" fillId="41" borderId="86" xfId="0" applyNumberFormat="1" applyFont="1" applyFill="1" applyBorder="1" applyAlignment="1">
      <alignment horizontal="center" vertical="center"/>
    </xf>
    <xf numFmtId="0" fontId="146" fillId="0" borderId="40" xfId="0" applyFont="1" applyBorder="1" applyAlignment="1">
      <alignment horizontal="center" vertical="center"/>
    </xf>
    <xf numFmtId="0" fontId="146" fillId="0" borderId="88" xfId="0" applyFont="1" applyBorder="1" applyAlignment="1">
      <alignment horizontal="center" vertical="center"/>
    </xf>
    <xf numFmtId="0" fontId="146" fillId="0" borderId="37" xfId="0" applyFont="1" applyBorder="1" applyAlignment="1">
      <alignment horizontal="center" vertical="center"/>
    </xf>
    <xf numFmtId="0" fontId="146" fillId="0" borderId="38" xfId="0" applyFont="1" applyBorder="1" applyAlignment="1">
      <alignment horizontal="center" vertical="center"/>
    </xf>
    <xf numFmtId="0" fontId="146" fillId="0" borderId="35" xfId="0" applyFont="1" applyBorder="1" applyAlignment="1">
      <alignment horizontal="center" vertical="center"/>
    </xf>
    <xf numFmtId="0" fontId="146" fillId="0" borderId="20" xfId="0" applyFont="1" applyBorder="1" applyAlignment="1">
      <alignment horizontal="center" vertical="center"/>
    </xf>
    <xf numFmtId="0" fontId="148" fillId="0" borderId="40" xfId="0" applyFont="1" applyBorder="1" applyAlignment="1">
      <alignment horizontal="center" vertical="center"/>
    </xf>
    <xf numFmtId="0" fontId="148" fillId="0" borderId="45" xfId="0" applyFont="1" applyBorder="1" applyAlignment="1">
      <alignment horizontal="center" vertical="center"/>
    </xf>
    <xf numFmtId="0" fontId="148" fillId="0" borderId="88" xfId="0" applyFont="1" applyBorder="1" applyAlignment="1">
      <alignment horizontal="center" vertical="center"/>
    </xf>
    <xf numFmtId="0" fontId="148" fillId="0" borderId="35" xfId="0" applyFont="1" applyBorder="1" applyAlignment="1">
      <alignment horizontal="center" vertical="center"/>
    </xf>
    <xf numFmtId="0" fontId="148" fillId="0" borderId="39" xfId="0" applyFont="1" applyBorder="1" applyAlignment="1">
      <alignment horizontal="center" vertical="center"/>
    </xf>
    <xf numFmtId="0" fontId="148" fillId="0" borderId="20" xfId="0" applyFont="1" applyBorder="1" applyAlignment="1">
      <alignment horizontal="center" vertical="center"/>
    </xf>
    <xf numFmtId="176" fontId="129" fillId="4" borderId="12" xfId="0" applyNumberFormat="1" applyFont="1" applyFill="1" applyBorder="1" applyAlignment="1">
      <alignment horizontal="center" vertical="center"/>
    </xf>
    <xf numFmtId="176" fontId="129" fillId="7" borderId="12" xfId="0" applyNumberFormat="1" applyFont="1" applyFill="1" applyBorder="1" applyAlignment="1">
      <alignment horizontal="center" vertical="center"/>
    </xf>
    <xf numFmtId="204" fontId="149" fillId="0" borderId="12" xfId="0" applyNumberFormat="1" applyFont="1" applyBorder="1" applyAlignment="1">
      <alignment horizontal="center" vertical="center"/>
    </xf>
    <xf numFmtId="176" fontId="129" fillId="2" borderId="12" xfId="0" applyNumberFormat="1" applyFont="1" applyFill="1" applyBorder="1" applyAlignment="1">
      <alignment horizontal="center" vertical="center"/>
    </xf>
    <xf numFmtId="0" fontId="149" fillId="0" borderId="12" xfId="0" applyFont="1" applyBorder="1" applyAlignment="1">
      <alignment horizontal="center" vertical="center"/>
    </xf>
    <xf numFmtId="176" fontId="129" fillId="0" borderId="12" xfId="0" applyNumberFormat="1" applyFont="1" applyBorder="1" applyAlignment="1">
      <alignment horizontal="center" vertical="center"/>
    </xf>
    <xf numFmtId="176" fontId="129" fillId="36" borderId="12" xfId="0" applyNumberFormat="1" applyFont="1" applyFill="1" applyBorder="1" applyAlignment="1">
      <alignment horizontal="center" vertical="center"/>
    </xf>
    <xf numFmtId="205" fontId="149" fillId="0" borderId="12" xfId="0" applyNumberFormat="1" applyFont="1" applyBorder="1" applyAlignment="1">
      <alignment horizontal="center" vertical="center"/>
    </xf>
    <xf numFmtId="0" fontId="128" fillId="41" borderId="45" xfId="0" applyFont="1" applyFill="1" applyBorder="1" applyAlignment="1">
      <alignment horizontal="left" vertical="top"/>
    </xf>
    <xf numFmtId="0" fontId="128" fillId="41" borderId="44" xfId="0" applyFont="1" applyFill="1" applyBorder="1" applyAlignment="1">
      <alignment horizontal="left" vertical="top"/>
    </xf>
    <xf numFmtId="0" fontId="129" fillId="41" borderId="0" xfId="0" applyFont="1" applyFill="1" applyAlignment="1">
      <alignment horizontal="left" vertical="center"/>
    </xf>
    <xf numFmtId="0" fontId="129" fillId="41" borderId="85" xfId="0" applyFont="1" applyFill="1" applyBorder="1" applyAlignment="1">
      <alignment horizontal="left" vertical="center"/>
    </xf>
    <xf numFmtId="0" fontId="129" fillId="41" borderId="14" xfId="0" applyFont="1" applyFill="1" applyBorder="1" applyAlignment="1">
      <alignment horizontal="left" vertical="center"/>
    </xf>
    <xf numFmtId="0" fontId="129" fillId="41" borderId="86" xfId="0" applyFont="1" applyFill="1" applyBorder="1" applyAlignment="1">
      <alignment horizontal="left" vertical="center"/>
    </xf>
    <xf numFmtId="49" fontId="129" fillId="41" borderId="0" xfId="0" applyNumberFormat="1" applyFont="1" applyFill="1" applyAlignment="1">
      <alignment horizontal="left" vertical="top"/>
    </xf>
    <xf numFmtId="49" fontId="129" fillId="41" borderId="85" xfId="0" applyNumberFormat="1" applyFont="1" applyFill="1" applyBorder="1" applyAlignment="1">
      <alignment horizontal="left" vertical="top"/>
    </xf>
    <xf numFmtId="49" fontId="129" fillId="41" borderId="39" xfId="0" applyNumberFormat="1" applyFont="1" applyFill="1" applyBorder="1" applyAlignment="1">
      <alignment horizontal="left" vertical="top"/>
    </xf>
    <xf numFmtId="49" fontId="129" fillId="41" borderId="64" xfId="0" applyNumberFormat="1" applyFont="1" applyFill="1" applyBorder="1" applyAlignment="1">
      <alignment horizontal="left" vertical="top"/>
    </xf>
    <xf numFmtId="0" fontId="129" fillId="41" borderId="39" xfId="0" applyFont="1" applyFill="1" applyBorder="1" applyAlignment="1">
      <alignment horizontal="left" vertical="center"/>
    </xf>
    <xf numFmtId="0" fontId="129" fillId="41" borderId="64" xfId="0" applyFont="1" applyFill="1" applyBorder="1" applyAlignment="1">
      <alignment horizontal="left" vertical="center"/>
    </xf>
    <xf numFmtId="0" fontId="129" fillId="41" borderId="45" xfId="0" applyFont="1" applyFill="1" applyBorder="1" applyAlignment="1">
      <alignment horizontal="left" vertical="center"/>
    </xf>
    <xf numFmtId="0" fontId="150" fillId="51" borderId="89" xfId="0" applyFont="1" applyFill="1" applyBorder="1" applyAlignment="1">
      <alignment horizontal="center" vertical="center" wrapText="1"/>
    </xf>
    <xf numFmtId="0" fontId="150" fillId="51" borderId="90" xfId="0" applyFont="1" applyFill="1" applyBorder="1" applyAlignment="1">
      <alignment horizontal="center" vertical="center" wrapText="1"/>
    </xf>
    <xf numFmtId="0" fontId="150" fillId="51" borderId="58" xfId="0" applyFont="1" applyFill="1" applyBorder="1" applyAlignment="1">
      <alignment horizontal="center" vertical="center" wrapText="1"/>
    </xf>
    <xf numFmtId="0" fontId="150" fillId="51" borderId="1" xfId="0" applyFont="1" applyFill="1" applyBorder="1" applyAlignment="1">
      <alignment horizontal="center" vertical="center" wrapText="1"/>
    </xf>
    <xf numFmtId="0" fontId="150" fillId="51" borderId="59" xfId="0" applyFont="1" applyFill="1" applyBorder="1" applyAlignment="1">
      <alignment horizontal="center" vertical="center" wrapText="1"/>
    </xf>
    <xf numFmtId="0" fontId="125" fillId="44" borderId="58" xfId="0" applyFont="1" applyFill="1" applyBorder="1" applyAlignment="1">
      <alignment horizontal="center" vertical="center" wrapText="1"/>
    </xf>
    <xf numFmtId="0" fontId="125" fillId="44" borderId="1" xfId="0" applyFont="1" applyFill="1" applyBorder="1" applyAlignment="1">
      <alignment horizontal="center" vertical="center" wrapText="1"/>
    </xf>
    <xf numFmtId="0" fontId="151" fillId="0" borderId="58" xfId="0" applyFont="1" applyBorder="1" applyAlignment="1">
      <alignment horizontal="center" vertical="center"/>
    </xf>
    <xf numFmtId="0" fontId="151" fillId="0" borderId="1" xfId="0" applyFont="1" applyBorder="1" applyAlignment="1">
      <alignment horizontal="center" vertical="center"/>
    </xf>
    <xf numFmtId="0" fontId="151" fillId="0" borderId="59" xfId="0" applyFont="1" applyBorder="1" applyAlignment="1">
      <alignment horizontal="center" vertical="center"/>
    </xf>
    <xf numFmtId="0" fontId="128" fillId="41" borderId="82" xfId="0" applyFont="1" applyFill="1" applyBorder="1" applyAlignment="1">
      <alignment horizontal="left" vertical="top"/>
    </xf>
    <xf numFmtId="0" fontId="128" fillId="41" borderId="83" xfId="0" applyFont="1" applyFill="1" applyBorder="1" applyAlignment="1">
      <alignment horizontal="left" vertical="top"/>
    </xf>
    <xf numFmtId="184" fontId="152" fillId="0" borderId="0" xfId="0" applyNumberFormat="1" applyFont="1" applyAlignment="1">
      <alignment horizontal="center" vertical="center"/>
    </xf>
    <xf numFmtId="0" fontId="153" fillId="4" borderId="71" xfId="0" applyFont="1" applyFill="1" applyBorder="1" applyAlignment="1">
      <alignment horizontal="center" vertical="center"/>
    </xf>
    <xf numFmtId="0" fontId="153" fillId="4" borderId="72" xfId="0" applyFont="1" applyFill="1" applyBorder="1" applyAlignment="1">
      <alignment horizontal="center" vertical="center"/>
    </xf>
    <xf numFmtId="0" fontId="153" fillId="4" borderId="73" xfId="0" applyFont="1" applyFill="1" applyBorder="1" applyAlignment="1">
      <alignment horizontal="center" vertical="center"/>
    </xf>
    <xf numFmtId="185" fontId="132" fillId="0" borderId="21" xfId="0" applyNumberFormat="1" applyFont="1" applyBorder="1" applyAlignment="1">
      <alignment horizontal="left" vertical="center"/>
    </xf>
    <xf numFmtId="185" fontId="132" fillId="0" borderId="36" xfId="0" applyNumberFormat="1" applyFont="1" applyBorder="1" applyAlignment="1">
      <alignment horizontal="left" vertical="center"/>
    </xf>
    <xf numFmtId="193" fontId="132" fillId="0" borderId="21" xfId="0" applyNumberFormat="1" applyFont="1" applyBorder="1" applyAlignment="1">
      <alignment horizontal="center" vertical="center"/>
    </xf>
    <xf numFmtId="193" fontId="132" fillId="0" borderId="36" xfId="0" applyNumberFormat="1" applyFon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/>
    </xf>
    <xf numFmtId="195" fontId="134" fillId="0" borderId="72" xfId="0" applyNumberFormat="1" applyFont="1" applyBorder="1" applyAlignment="1">
      <alignment horizontal="center" vertical="center"/>
    </xf>
    <xf numFmtId="185" fontId="132" fillId="5" borderId="21" xfId="0" applyNumberFormat="1" applyFont="1" applyFill="1" applyBorder="1" applyAlignment="1">
      <alignment horizontal="left" vertical="center"/>
    </xf>
    <xf numFmtId="185" fontId="132" fillId="5" borderId="36" xfId="0" applyNumberFormat="1" applyFont="1" applyFill="1" applyBorder="1" applyAlignment="1">
      <alignment horizontal="left" vertical="center"/>
    </xf>
    <xf numFmtId="194" fontId="132" fillId="5" borderId="21" xfId="0" applyNumberFormat="1" applyFont="1" applyFill="1" applyBorder="1" applyAlignment="1">
      <alignment horizontal="left" vertical="center"/>
    </xf>
    <xf numFmtId="194" fontId="132" fillId="5" borderId="36" xfId="0" applyNumberFormat="1" applyFont="1" applyFill="1" applyBorder="1" applyAlignment="1">
      <alignment horizontal="left" vertical="center"/>
    </xf>
    <xf numFmtId="183" fontId="144" fillId="0" borderId="7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73" applyBorder="1" applyAlignment="1">
      <alignment horizontal="center" vertical="center"/>
      <protection/>
    </xf>
    <xf numFmtId="0" fontId="132" fillId="0" borderId="17" xfId="0" applyFont="1" applyBorder="1" applyAlignment="1">
      <alignment horizontal="center" vertical="center"/>
    </xf>
    <xf numFmtId="0" fontId="132" fillId="0" borderId="24" xfId="0" applyFont="1" applyBorder="1" applyAlignment="1">
      <alignment horizontal="center" vertical="center"/>
    </xf>
    <xf numFmtId="0" fontId="132" fillId="0" borderId="32" xfId="0" applyFont="1" applyBorder="1" applyAlignment="1">
      <alignment horizontal="center" vertical="center"/>
    </xf>
    <xf numFmtId="0" fontId="132" fillId="0" borderId="49" xfId="0" applyFont="1" applyBorder="1" applyAlignment="1">
      <alignment horizontal="center" vertical="center"/>
    </xf>
    <xf numFmtId="176" fontId="136" fillId="0" borderId="12" xfId="0" applyNumberFormat="1" applyFont="1" applyBorder="1" applyAlignment="1">
      <alignment horizontal="center" vertical="center"/>
    </xf>
    <xf numFmtId="176" fontId="136" fillId="0" borderId="19" xfId="0" applyNumberFormat="1" applyFont="1" applyBorder="1" applyAlignment="1">
      <alignment horizontal="center" vertical="center"/>
    </xf>
    <xf numFmtId="5" fontId="154" fillId="52" borderId="40" xfId="0" applyNumberFormat="1" applyFont="1" applyFill="1" applyBorder="1" applyAlignment="1">
      <alignment horizontal="center" vertical="center"/>
    </xf>
    <xf numFmtId="5" fontId="154" fillId="52" borderId="45" xfId="0" applyNumberFormat="1" applyFont="1" applyFill="1" applyBorder="1" applyAlignment="1">
      <alignment horizontal="center" vertical="center"/>
    </xf>
    <xf numFmtId="5" fontId="154" fillId="52" borderId="88" xfId="0" applyNumberFormat="1" applyFont="1" applyFill="1" applyBorder="1" applyAlignment="1">
      <alignment horizontal="center" vertical="center"/>
    </xf>
    <xf numFmtId="5" fontId="154" fillId="52" borderId="35" xfId="0" applyNumberFormat="1" applyFont="1" applyFill="1" applyBorder="1" applyAlignment="1">
      <alignment horizontal="center" vertical="center"/>
    </xf>
    <xf numFmtId="5" fontId="154" fillId="52" borderId="39" xfId="0" applyNumberFormat="1" applyFont="1" applyFill="1" applyBorder="1" applyAlignment="1">
      <alignment horizontal="center" vertical="center"/>
    </xf>
    <xf numFmtId="5" fontId="154" fillId="52" borderId="20" xfId="0" applyNumberFormat="1" applyFont="1" applyFill="1" applyBorder="1" applyAlignment="1">
      <alignment horizontal="center" vertical="center"/>
    </xf>
    <xf numFmtId="0" fontId="137" fillId="0" borderId="0" xfId="0" applyFont="1" applyBorder="1" applyAlignment="1">
      <alignment horizontal="left" vertical="center"/>
    </xf>
    <xf numFmtId="0" fontId="132" fillId="28" borderId="40" xfId="0" applyFont="1" applyFill="1" applyBorder="1" applyAlignment="1">
      <alignment horizontal="center" vertical="center"/>
    </xf>
    <xf numFmtId="0" fontId="132" fillId="28" borderId="45" xfId="0" applyFont="1" applyFill="1" applyBorder="1" applyAlignment="1">
      <alignment horizontal="center" vertical="center"/>
    </xf>
    <xf numFmtId="0" fontId="132" fillId="28" borderId="88" xfId="0" applyFont="1" applyFill="1" applyBorder="1" applyAlignment="1">
      <alignment horizontal="center" vertical="center"/>
    </xf>
    <xf numFmtId="0" fontId="132" fillId="28" borderId="37" xfId="0" applyFont="1" applyFill="1" applyBorder="1" applyAlignment="1">
      <alignment horizontal="left" vertical="center"/>
    </xf>
    <xf numFmtId="0" fontId="132" fillId="28" borderId="0" xfId="0" applyFont="1" applyFill="1" applyBorder="1" applyAlignment="1">
      <alignment horizontal="left" vertical="center"/>
    </xf>
    <xf numFmtId="0" fontId="132" fillId="28" borderId="38" xfId="0" applyFont="1" applyFill="1" applyBorder="1" applyAlignment="1">
      <alignment horizontal="left" vertical="center"/>
    </xf>
    <xf numFmtId="0" fontId="132" fillId="28" borderId="35" xfId="0" applyFont="1" applyFill="1" applyBorder="1" applyAlignment="1">
      <alignment horizontal="left" vertical="center"/>
    </xf>
    <xf numFmtId="0" fontId="132" fillId="28" borderId="39" xfId="0" applyFont="1" applyFill="1" applyBorder="1" applyAlignment="1">
      <alignment horizontal="left" vertical="center"/>
    </xf>
    <xf numFmtId="0" fontId="132" fillId="28" borderId="20" xfId="0" applyFont="1" applyFill="1" applyBorder="1" applyAlignment="1">
      <alignment horizontal="left" vertical="center"/>
    </xf>
    <xf numFmtId="215" fontId="132" fillId="0" borderId="82" xfId="0" applyNumberFormat="1" applyFont="1" applyBorder="1" applyAlignment="1">
      <alignment horizontal="left" vertical="center"/>
    </xf>
    <xf numFmtId="215" fontId="132" fillId="0" borderId="83" xfId="0" applyNumberFormat="1" applyFont="1" applyBorder="1" applyAlignment="1">
      <alignment horizontal="left" vertical="center"/>
    </xf>
    <xf numFmtId="215" fontId="132" fillId="0" borderId="14" xfId="0" applyNumberFormat="1" applyFont="1" applyBorder="1" applyAlignment="1">
      <alignment horizontal="left" vertical="center"/>
    </xf>
    <xf numFmtId="215" fontId="132" fillId="0" borderId="86" xfId="0" applyNumberFormat="1" applyFont="1" applyBorder="1" applyAlignment="1">
      <alignment horizontal="left" vertical="center"/>
    </xf>
    <xf numFmtId="0" fontId="132" fillId="0" borderId="68" xfId="0" applyFont="1" applyBorder="1" applyAlignment="1">
      <alignment horizontal="center" vertical="center"/>
    </xf>
    <xf numFmtId="0" fontId="132" fillId="0" borderId="50" xfId="0" applyFont="1" applyBorder="1" applyAlignment="1">
      <alignment horizontal="center" vertical="center"/>
    </xf>
    <xf numFmtId="176" fontId="136" fillId="0" borderId="17" xfId="0" applyNumberFormat="1" applyFont="1" applyBorder="1" applyAlignment="1">
      <alignment horizontal="center" vertical="center"/>
    </xf>
    <xf numFmtId="176" fontId="136" fillId="0" borderId="24" xfId="0" applyNumberFormat="1" applyFont="1" applyBorder="1" applyAlignment="1">
      <alignment horizontal="center" vertical="center"/>
    </xf>
    <xf numFmtId="0" fontId="132" fillId="44" borderId="12" xfId="0" applyFont="1" applyFill="1" applyBorder="1" applyAlignment="1">
      <alignment horizontal="center" vertical="center"/>
    </xf>
    <xf numFmtId="0" fontId="155" fillId="44" borderId="12" xfId="0" applyFont="1" applyFill="1" applyBorder="1" applyAlignment="1">
      <alignment horizontal="center" vertical="center"/>
    </xf>
    <xf numFmtId="5" fontId="136" fillId="0" borderId="12" xfId="0" applyNumberFormat="1" applyFont="1" applyBorder="1" applyAlignment="1">
      <alignment horizontal="center" vertical="center"/>
    </xf>
    <xf numFmtId="9" fontId="136" fillId="0" borderId="12" xfId="0" applyNumberFormat="1" applyFont="1" applyBorder="1" applyAlignment="1">
      <alignment horizontal="center" vertical="center"/>
    </xf>
    <xf numFmtId="0" fontId="136" fillId="0" borderId="12" xfId="0" applyFont="1" applyBorder="1" applyAlignment="1">
      <alignment horizontal="center" vertical="center"/>
    </xf>
    <xf numFmtId="0" fontId="132" fillId="0" borderId="60" xfId="0" applyFont="1" applyBorder="1" applyAlignment="1">
      <alignment horizontal="center" vertical="center"/>
    </xf>
    <xf numFmtId="0" fontId="132" fillId="0" borderId="82" xfId="0" applyFont="1" applyBorder="1" applyAlignment="1">
      <alignment horizontal="center" vertical="center"/>
    </xf>
    <xf numFmtId="0" fontId="132" fillId="0" borderId="65" xfId="0" applyFont="1" applyBorder="1" applyAlignment="1">
      <alignment horizontal="center" vertical="center"/>
    </xf>
    <xf numFmtId="0" fontId="132" fillId="0" borderId="14" xfId="0" applyFont="1" applyBorder="1" applyAlignment="1">
      <alignment horizontal="center" vertical="center"/>
    </xf>
    <xf numFmtId="0" fontId="114" fillId="35" borderId="63" xfId="70" applyFont="1" applyFill="1" applyBorder="1" applyAlignment="1">
      <alignment horizontal="center" vertical="center"/>
      <protection/>
    </xf>
    <xf numFmtId="0" fontId="114" fillId="35" borderId="88" xfId="70" applyFont="1" applyFill="1" applyBorder="1" applyAlignment="1">
      <alignment horizontal="center" vertical="center"/>
      <protection/>
    </xf>
    <xf numFmtId="0" fontId="117" fillId="35" borderId="91" xfId="70" applyFont="1" applyFill="1" applyBorder="1" applyAlignment="1">
      <alignment horizontal="center" vertical="center"/>
      <protection/>
    </xf>
    <xf numFmtId="0" fontId="117" fillId="35" borderId="92" xfId="70" applyFont="1" applyFill="1" applyBorder="1" applyAlignment="1">
      <alignment horizontal="center" vertical="center"/>
      <protection/>
    </xf>
    <xf numFmtId="0" fontId="117" fillId="35" borderId="65" xfId="70" applyFont="1" applyFill="1" applyBorder="1" applyAlignment="1">
      <alignment horizontal="center" vertical="center"/>
      <protection/>
    </xf>
    <xf numFmtId="0" fontId="117" fillId="35" borderId="69" xfId="70" applyFont="1" applyFill="1" applyBorder="1" applyAlignment="1">
      <alignment horizontal="center" vertical="center"/>
      <protection/>
    </xf>
    <xf numFmtId="0" fontId="113" fillId="35" borderId="55" xfId="70" applyFont="1" applyFill="1" applyBorder="1" applyAlignment="1">
      <alignment horizontal="center" vertical="center"/>
      <protection/>
    </xf>
    <xf numFmtId="0" fontId="113" fillId="35" borderId="36" xfId="70" applyFont="1" applyFill="1" applyBorder="1" applyAlignment="1">
      <alignment horizontal="center" vertical="center"/>
      <protection/>
    </xf>
    <xf numFmtId="0" fontId="113" fillId="35" borderId="63" xfId="70" applyFont="1" applyFill="1" applyBorder="1" applyAlignment="1">
      <alignment horizontal="center" vertical="center"/>
      <protection/>
    </xf>
    <xf numFmtId="0" fontId="113" fillId="35" borderId="88" xfId="70" applyFont="1" applyFill="1" applyBorder="1" applyAlignment="1">
      <alignment horizontal="center" vertical="center"/>
      <protection/>
    </xf>
    <xf numFmtId="0" fontId="113" fillId="35" borderId="65" xfId="70" applyFont="1" applyFill="1" applyBorder="1" applyAlignment="1">
      <alignment horizontal="center" vertical="center"/>
      <protection/>
    </xf>
    <xf numFmtId="0" fontId="113" fillId="35" borderId="69" xfId="70" applyFont="1" applyFill="1" applyBorder="1" applyAlignment="1">
      <alignment horizontal="center" vertical="center"/>
      <protection/>
    </xf>
    <xf numFmtId="0" fontId="113" fillId="35" borderId="93" xfId="70" applyFont="1" applyFill="1" applyBorder="1" applyAlignment="1">
      <alignment horizontal="center" vertical="center"/>
      <protection/>
    </xf>
    <xf numFmtId="0" fontId="113" fillId="35" borderId="94" xfId="70" applyFont="1" applyFill="1" applyBorder="1" applyAlignment="1">
      <alignment horizontal="center" vertical="center"/>
      <protection/>
    </xf>
    <xf numFmtId="0" fontId="114" fillId="35" borderId="53" xfId="70" applyFont="1" applyFill="1" applyBorder="1" applyAlignment="1">
      <alignment horizontal="center" vertical="center"/>
      <protection/>
    </xf>
    <xf numFmtId="0" fontId="114" fillId="35" borderId="41" xfId="70" applyFont="1" applyFill="1" applyBorder="1" applyAlignment="1">
      <alignment horizontal="center" vertical="center"/>
      <protection/>
    </xf>
    <xf numFmtId="0" fontId="114" fillId="35" borderId="55" xfId="70" applyFont="1" applyFill="1" applyBorder="1" applyAlignment="1">
      <alignment horizontal="center" vertical="center"/>
      <protection/>
    </xf>
    <xf numFmtId="0" fontId="114" fillId="35" borderId="36" xfId="70" applyFont="1" applyFill="1" applyBorder="1" applyAlignment="1">
      <alignment horizontal="center" vertical="center"/>
      <protection/>
    </xf>
    <xf numFmtId="0" fontId="113" fillId="2" borderId="58" xfId="70" applyFont="1" applyFill="1" applyBorder="1" applyAlignment="1">
      <alignment horizontal="center" vertical="center"/>
      <protection/>
    </xf>
    <xf numFmtId="0" fontId="113" fillId="2" borderId="1" xfId="70" applyFont="1" applyFill="1" applyBorder="1" applyAlignment="1">
      <alignment horizontal="center" vertical="center"/>
      <protection/>
    </xf>
    <xf numFmtId="0" fontId="113" fillId="2" borderId="59" xfId="70" applyFont="1" applyFill="1" applyBorder="1" applyAlignment="1">
      <alignment horizontal="center" vertical="center"/>
      <protection/>
    </xf>
    <xf numFmtId="0" fontId="113" fillId="35" borderId="58" xfId="70" applyFont="1" applyFill="1" applyBorder="1" applyAlignment="1">
      <alignment horizontal="center" vertical="center"/>
      <protection/>
    </xf>
    <xf numFmtId="0" fontId="113" fillId="35" borderId="95" xfId="70" applyFont="1" applyFill="1" applyBorder="1" applyAlignment="1">
      <alignment horizontal="center" vertical="center"/>
      <protection/>
    </xf>
    <xf numFmtId="0" fontId="113" fillId="35" borderId="53" xfId="70" applyFont="1" applyFill="1" applyBorder="1" applyAlignment="1">
      <alignment horizontal="center" vertical="center"/>
      <protection/>
    </xf>
    <xf numFmtId="0" fontId="113" fillId="35" borderId="41" xfId="70" applyFont="1" applyFill="1" applyBorder="1" applyAlignment="1">
      <alignment horizontal="center" vertical="center"/>
      <protection/>
    </xf>
    <xf numFmtId="0" fontId="0" fillId="0" borderId="68" xfId="70" applyBorder="1" applyAlignment="1">
      <alignment horizontal="center" vertical="center" wrapText="1"/>
      <protection/>
    </xf>
    <xf numFmtId="0" fontId="0" fillId="0" borderId="50" xfId="70" applyBorder="1" applyAlignment="1">
      <alignment horizontal="center" vertical="center"/>
      <protection/>
    </xf>
    <xf numFmtId="0" fontId="0" fillId="0" borderId="17" xfId="70" applyBorder="1" applyAlignment="1">
      <alignment horizontal="center" vertical="center" wrapText="1"/>
      <protection/>
    </xf>
    <xf numFmtId="0" fontId="0" fillId="0" borderId="32" xfId="70" applyBorder="1" applyAlignment="1">
      <alignment horizontal="center" vertical="center"/>
      <protection/>
    </xf>
    <xf numFmtId="0" fontId="5" fillId="0" borderId="71" xfId="72" applyFont="1" applyBorder="1" applyAlignment="1">
      <alignment horizontal="center" vertical="center"/>
      <protection/>
    </xf>
    <xf numFmtId="0" fontId="5" fillId="0" borderId="73" xfId="72" applyFont="1" applyBorder="1" applyAlignment="1">
      <alignment horizontal="center" vertical="center"/>
      <protection/>
    </xf>
    <xf numFmtId="0" fontId="0" fillId="0" borderId="54" xfId="70" applyBorder="1" applyAlignment="1">
      <alignment horizontal="center" vertical="center"/>
      <protection/>
    </xf>
    <xf numFmtId="0" fontId="0" fillId="0" borderId="57" xfId="70" applyBorder="1" applyAlignment="1">
      <alignment horizontal="center" vertical="center"/>
      <protection/>
    </xf>
    <xf numFmtId="0" fontId="114" fillId="0" borderId="60" xfId="70" applyFont="1" applyBorder="1" applyAlignment="1">
      <alignment horizontal="center" vertical="center"/>
      <protection/>
    </xf>
    <xf numFmtId="0" fontId="114" fillId="0" borderId="82" xfId="70" applyFont="1" applyBorder="1" applyAlignment="1">
      <alignment horizontal="center" vertical="center"/>
      <protection/>
    </xf>
    <xf numFmtId="0" fontId="114" fillId="0" borderId="83" xfId="70" applyFont="1" applyBorder="1" applyAlignment="1">
      <alignment horizontal="center" vertical="center"/>
      <protection/>
    </xf>
    <xf numFmtId="0" fontId="114" fillId="0" borderId="65" xfId="70" applyFont="1" applyBorder="1" applyAlignment="1">
      <alignment horizontal="center" vertical="center"/>
      <protection/>
    </xf>
    <xf numFmtId="0" fontId="114" fillId="0" borderId="14" xfId="70" applyFont="1" applyBorder="1" applyAlignment="1">
      <alignment horizontal="center" vertical="center"/>
      <protection/>
    </xf>
    <xf numFmtId="0" fontId="114" fillId="0" borderId="86" xfId="70" applyFont="1" applyBorder="1" applyAlignment="1">
      <alignment horizontal="center" vertical="center"/>
      <protection/>
    </xf>
    <xf numFmtId="0" fontId="143" fillId="0" borderId="60" xfId="70" applyFont="1" applyBorder="1" applyAlignment="1">
      <alignment horizontal="center" vertical="center"/>
      <protection/>
    </xf>
    <xf numFmtId="0" fontId="143" fillId="0" borderId="82" xfId="70" applyFont="1" applyBorder="1" applyAlignment="1">
      <alignment horizontal="center" vertical="center"/>
      <protection/>
    </xf>
    <xf numFmtId="0" fontId="143" fillId="0" borderId="83" xfId="70" applyFont="1" applyBorder="1" applyAlignment="1">
      <alignment horizontal="center" vertical="center"/>
      <protection/>
    </xf>
    <xf numFmtId="0" fontId="143" fillId="0" borderId="65" xfId="70" applyFont="1" applyBorder="1" applyAlignment="1">
      <alignment horizontal="center" vertical="center"/>
      <protection/>
    </xf>
    <xf numFmtId="0" fontId="143" fillId="0" borderId="14" xfId="70" applyFont="1" applyBorder="1" applyAlignment="1">
      <alignment horizontal="center" vertical="center"/>
      <protection/>
    </xf>
    <xf numFmtId="0" fontId="143" fillId="0" borderId="86" xfId="70" applyFont="1" applyBorder="1" applyAlignment="1">
      <alignment horizontal="center" vertical="center"/>
      <protection/>
    </xf>
    <xf numFmtId="0" fontId="114" fillId="0" borderId="12" xfId="70" applyFont="1" applyBorder="1" applyAlignment="1">
      <alignment horizontal="center" vertical="center"/>
      <protection/>
    </xf>
    <xf numFmtId="0" fontId="0" fillId="0" borderId="34" xfId="70" applyBorder="1" applyAlignment="1">
      <alignment horizontal="center" vertical="center"/>
      <protection/>
    </xf>
    <xf numFmtId="0" fontId="0" fillId="0" borderId="33" xfId="70" applyBorder="1" applyAlignment="1">
      <alignment horizontal="center" vertical="center"/>
      <protection/>
    </xf>
    <xf numFmtId="0" fontId="115" fillId="0" borderId="68" xfId="70" applyFont="1" applyBorder="1" applyAlignment="1">
      <alignment horizontal="center" vertical="center"/>
      <protection/>
    </xf>
    <xf numFmtId="0" fontId="115" fillId="0" borderId="50" xfId="70" applyFont="1" applyBorder="1" applyAlignment="1">
      <alignment horizontal="center" vertical="center"/>
      <protection/>
    </xf>
    <xf numFmtId="0" fontId="0" fillId="0" borderId="12" xfId="73" applyBorder="1" applyAlignment="1" applyProtection="1">
      <alignment horizontal="center" vertical="center"/>
      <protection hidden="1"/>
    </xf>
    <xf numFmtId="0" fontId="129" fillId="11" borderId="32" xfId="0" applyFont="1" applyFill="1" applyBorder="1" applyAlignment="1" applyProtection="1">
      <alignment horizontal="center" vertical="center"/>
      <protection hidden="1"/>
    </xf>
    <xf numFmtId="0" fontId="129" fillId="11" borderId="15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185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06" fontId="129" fillId="0" borderId="12" xfId="0" applyNumberFormat="1" applyFont="1" applyBorder="1" applyAlignment="1" applyProtection="1">
      <alignment horizontal="center" vertical="center"/>
      <protection locked="0"/>
    </xf>
    <xf numFmtId="206" fontId="129" fillId="0" borderId="15" xfId="0" applyNumberFormat="1" applyFont="1" applyBorder="1" applyAlignment="1" applyProtection="1">
      <alignment horizontal="center" vertical="center"/>
      <protection locked="0"/>
    </xf>
    <xf numFmtId="0" fontId="129" fillId="5" borderId="12" xfId="0" applyFont="1" applyFill="1" applyBorder="1" applyAlignment="1" applyProtection="1">
      <alignment horizontal="center" vertical="center"/>
      <protection hidden="1"/>
    </xf>
    <xf numFmtId="185" fontId="132" fillId="5" borderId="16" xfId="0" applyNumberFormat="1" applyFont="1" applyFill="1" applyBorder="1" applyAlignment="1" applyProtection="1">
      <alignment horizontal="center" vertical="center"/>
      <protection hidden="1"/>
    </xf>
    <xf numFmtId="185" fontId="132" fillId="5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horizontal="center" vertical="center"/>
      <protection hidden="1"/>
    </xf>
    <xf numFmtId="185" fontId="132" fillId="0" borderId="21" xfId="0" applyNumberFormat="1" applyFont="1" applyBorder="1" applyAlignment="1" applyProtection="1">
      <alignment horizontal="center" vertical="center"/>
      <protection locked="0"/>
    </xf>
    <xf numFmtId="185" fontId="132" fillId="0" borderId="36" xfId="0" applyNumberFormat="1" applyFont="1" applyBorder="1" applyAlignment="1" applyProtection="1">
      <alignment horizontal="center" vertical="center"/>
      <protection locked="0"/>
    </xf>
    <xf numFmtId="0" fontId="134" fillId="53" borderId="87" xfId="72" applyFont="1" applyFill="1" applyBorder="1" applyAlignment="1" applyProtection="1">
      <alignment horizontal="center" vertical="center"/>
      <protection hidden="1"/>
    </xf>
    <xf numFmtId="0" fontId="134" fillId="53" borderId="43" xfId="72" applyFont="1" applyFill="1" applyBorder="1" applyAlignment="1" applyProtection="1">
      <alignment horizontal="center" vertical="center"/>
      <protection hidden="1"/>
    </xf>
    <xf numFmtId="0" fontId="134" fillId="53" borderId="22" xfId="72" applyFont="1" applyFill="1" applyBorder="1" applyAlignment="1" applyProtection="1">
      <alignment horizontal="center" vertical="center"/>
      <protection hidden="1"/>
    </xf>
    <xf numFmtId="184" fontId="156" fillId="0" borderId="0" xfId="0" applyNumberFormat="1" applyFont="1" applyAlignment="1" applyProtection="1">
      <alignment horizontal="center" vertical="center"/>
      <protection locked="0"/>
    </xf>
    <xf numFmtId="0" fontId="153" fillId="10" borderId="60" xfId="0" applyFont="1" applyFill="1" applyBorder="1" applyAlignment="1" applyProtection="1">
      <alignment horizontal="center" vertical="center"/>
      <protection hidden="1"/>
    </xf>
    <xf numFmtId="0" fontId="153" fillId="10" borderId="82" xfId="0" applyFont="1" applyFill="1" applyBorder="1" applyAlignment="1" applyProtection="1">
      <alignment horizontal="center" vertical="center"/>
      <protection hidden="1"/>
    </xf>
    <xf numFmtId="0" fontId="153" fillId="10" borderId="83" xfId="0" applyFont="1" applyFill="1" applyBorder="1" applyAlignment="1" applyProtection="1">
      <alignment horizontal="center" vertical="center"/>
      <protection hidden="1"/>
    </xf>
    <xf numFmtId="0" fontId="153" fillId="10" borderId="61" xfId="0" applyFont="1" applyFill="1" applyBorder="1" applyAlignment="1" applyProtection="1">
      <alignment horizontal="center" vertical="center"/>
      <protection hidden="1"/>
    </xf>
    <xf numFmtId="0" fontId="153" fillId="10" borderId="0" xfId="0" applyFont="1" applyFill="1" applyAlignment="1" applyProtection="1">
      <alignment horizontal="center" vertical="center"/>
      <protection hidden="1"/>
    </xf>
    <xf numFmtId="0" fontId="153" fillId="10" borderId="85" xfId="0" applyFont="1" applyFill="1" applyBorder="1" applyAlignment="1" applyProtection="1">
      <alignment horizontal="center" vertical="center"/>
      <protection hidden="1"/>
    </xf>
    <xf numFmtId="0" fontId="133" fillId="0" borderId="61" xfId="0" applyFont="1" applyBorder="1" applyAlignment="1" applyProtection="1">
      <alignment horizontal="center" vertical="center"/>
      <protection hidden="1"/>
    </xf>
    <xf numFmtId="0" fontId="133" fillId="0" borderId="0" xfId="0" applyFont="1" applyAlignment="1" applyProtection="1">
      <alignment horizontal="center" vertical="center"/>
      <protection hidden="1"/>
    </xf>
    <xf numFmtId="0" fontId="133" fillId="0" borderId="85" xfId="0" applyFont="1" applyBorder="1" applyAlignment="1" applyProtection="1">
      <alignment horizontal="center" vertical="center"/>
      <protection hidden="1"/>
    </xf>
    <xf numFmtId="183" fontId="144" fillId="0" borderId="61" xfId="0" applyNumberFormat="1" applyFont="1" applyBorder="1" applyAlignment="1" applyProtection="1">
      <alignment horizontal="center" vertical="center"/>
      <protection hidden="1"/>
    </xf>
    <xf numFmtId="183" fontId="144" fillId="0" borderId="0" xfId="0" applyNumberFormat="1" applyFont="1" applyAlignment="1" applyProtection="1">
      <alignment horizontal="center" vertical="center"/>
      <protection hidden="1"/>
    </xf>
    <xf numFmtId="183" fontId="144" fillId="0" borderId="85" xfId="0" applyNumberFormat="1" applyFont="1" applyBorder="1" applyAlignment="1" applyProtection="1">
      <alignment horizontal="center" vertical="center"/>
      <protection hidden="1"/>
    </xf>
    <xf numFmtId="0" fontId="145" fillId="7" borderId="68" xfId="72" applyFont="1" applyFill="1" applyBorder="1" applyAlignment="1" applyProtection="1">
      <alignment horizontal="center" vertical="center"/>
      <protection hidden="1"/>
    </xf>
    <xf numFmtId="0" fontId="145" fillId="7" borderId="17" xfId="72" applyFont="1" applyFill="1" applyBorder="1" applyAlignment="1" applyProtection="1">
      <alignment horizontal="center" vertical="center"/>
      <protection hidden="1"/>
    </xf>
    <xf numFmtId="0" fontId="145" fillId="7" borderId="16" xfId="72" applyFont="1" applyFill="1" applyBorder="1" applyAlignment="1" applyProtection="1">
      <alignment horizontal="center" vertical="center"/>
      <protection hidden="1"/>
    </xf>
    <xf numFmtId="0" fontId="145" fillId="7" borderId="50" xfId="72" applyFont="1" applyFill="1" applyBorder="1" applyAlignment="1" applyProtection="1">
      <alignment horizontal="center" vertical="center"/>
      <protection hidden="1"/>
    </xf>
    <xf numFmtId="0" fontId="145" fillId="7" borderId="32" xfId="72" applyFont="1" applyFill="1" applyBorder="1" applyAlignment="1" applyProtection="1">
      <alignment horizontal="center" vertical="center"/>
      <protection hidden="1"/>
    </xf>
    <xf numFmtId="0" fontId="145" fillId="7" borderId="18" xfId="72" applyFont="1" applyFill="1" applyBorder="1" applyAlignment="1" applyProtection="1">
      <alignment horizontal="center" vertical="center"/>
      <protection hidden="1"/>
    </xf>
    <xf numFmtId="212" fontId="145" fillId="7" borderId="60" xfId="72" applyNumberFormat="1" applyFont="1" applyFill="1" applyBorder="1" applyAlignment="1" applyProtection="1">
      <alignment horizontal="center" vertical="center"/>
      <protection hidden="1"/>
    </xf>
    <xf numFmtId="212" fontId="145" fillId="7" borderId="82" xfId="72" applyNumberFormat="1" applyFont="1" applyFill="1" applyBorder="1" applyAlignment="1" applyProtection="1">
      <alignment horizontal="center" vertical="center"/>
      <protection hidden="1"/>
    </xf>
    <xf numFmtId="212" fontId="145" fillId="7" borderId="83" xfId="72" applyNumberFormat="1" applyFont="1" applyFill="1" applyBorder="1" applyAlignment="1" applyProtection="1">
      <alignment horizontal="center" vertical="center"/>
      <protection hidden="1"/>
    </xf>
    <xf numFmtId="212" fontId="145" fillId="7" borderId="65" xfId="72" applyNumberFormat="1" applyFont="1" applyFill="1" applyBorder="1" applyAlignment="1" applyProtection="1">
      <alignment horizontal="center" vertical="center"/>
      <protection hidden="1"/>
    </xf>
    <xf numFmtId="212" fontId="145" fillId="7" borderId="14" xfId="72" applyNumberFormat="1" applyFont="1" applyFill="1" applyBorder="1" applyAlignment="1" applyProtection="1">
      <alignment horizontal="center" vertical="center"/>
      <protection hidden="1"/>
    </xf>
    <xf numFmtId="212" fontId="145" fillId="7" borderId="86" xfId="72" applyNumberFormat="1" applyFont="1" applyFill="1" applyBorder="1" applyAlignment="1" applyProtection="1">
      <alignment horizontal="center" vertical="center"/>
      <protection hidden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176" fontId="4" fillId="0" borderId="35" xfId="71" applyNumberFormat="1" applyFont="1" applyBorder="1" applyAlignment="1">
      <alignment horizontal="center" vertical="center"/>
      <protection/>
    </xf>
    <xf numFmtId="176" fontId="4" fillId="0" borderId="39" xfId="71" applyNumberFormat="1" applyFont="1" applyBorder="1" applyAlignment="1">
      <alignment horizontal="center" vertical="center"/>
      <protection/>
    </xf>
    <xf numFmtId="0" fontId="3" fillId="37" borderId="21" xfId="71" applyFill="1" applyBorder="1" applyAlignment="1">
      <alignment horizontal="center" vertical="center"/>
      <protection/>
    </xf>
    <xf numFmtId="0" fontId="3" fillId="37" borderId="2" xfId="71" applyFill="1" applyBorder="1" applyAlignment="1">
      <alignment horizontal="center" vertical="center"/>
      <protection/>
    </xf>
    <xf numFmtId="0" fontId="3" fillId="37" borderId="36" xfId="71" applyFill="1" applyBorder="1" applyAlignment="1">
      <alignment horizontal="center" vertical="center"/>
      <protection/>
    </xf>
    <xf numFmtId="0" fontId="3" fillId="38" borderId="21" xfId="71" applyFill="1" applyBorder="1" applyAlignment="1">
      <alignment horizontal="center" vertical="center"/>
      <protection/>
    </xf>
    <xf numFmtId="0" fontId="3" fillId="38" borderId="2" xfId="71" applyFill="1" applyBorder="1" applyAlignment="1">
      <alignment horizontal="center" vertical="center"/>
      <protection/>
    </xf>
    <xf numFmtId="0" fontId="3" fillId="38" borderId="36" xfId="71" applyFill="1" applyBorder="1" applyAlignment="1">
      <alignment horizontal="center" vertical="center"/>
      <protection/>
    </xf>
    <xf numFmtId="0" fontId="3" fillId="0" borderId="39" xfId="71" applyBorder="1" applyAlignment="1">
      <alignment horizontal="center" vertical="center"/>
      <protection/>
    </xf>
    <xf numFmtId="211" fontId="21" fillId="0" borderId="39" xfId="71" applyNumberFormat="1" applyFont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/>
      <protection/>
    </xf>
    <xf numFmtId="0" fontId="6" fillId="0" borderId="2" xfId="71" applyFont="1" applyBorder="1" applyAlignment="1">
      <alignment horizontal="center" vertical="center"/>
      <protection/>
    </xf>
    <xf numFmtId="0" fontId="6" fillId="0" borderId="36" xfId="71" applyFont="1" applyBorder="1" applyAlignment="1">
      <alignment horizontal="center" vertical="center"/>
      <protection/>
    </xf>
    <xf numFmtId="0" fontId="7" fillId="42" borderId="88" xfId="71" applyFont="1" applyFill="1" applyBorder="1" applyAlignment="1">
      <alignment horizontal="center" vertical="center" wrapText="1"/>
      <protection/>
    </xf>
    <xf numFmtId="0" fontId="7" fillId="42" borderId="38" xfId="71" applyFont="1" applyFill="1" applyBorder="1" applyAlignment="1">
      <alignment horizontal="center" vertical="center"/>
      <protection/>
    </xf>
    <xf numFmtId="0" fontId="3" fillId="0" borderId="21" xfId="71" applyBorder="1" applyAlignment="1">
      <alignment horizontal="center" vertical="center"/>
      <protection/>
    </xf>
    <xf numFmtId="0" fontId="3" fillId="0" borderId="2" xfId="71" applyBorder="1" applyAlignment="1">
      <alignment horizontal="center" vertical="center"/>
      <protection/>
    </xf>
    <xf numFmtId="0" fontId="3" fillId="0" borderId="42" xfId="71" applyBorder="1" applyAlignment="1">
      <alignment horizontal="center" vertical="center"/>
      <protection/>
    </xf>
    <xf numFmtId="198" fontId="3" fillId="0" borderId="21" xfId="71" applyNumberFormat="1" applyBorder="1" applyAlignment="1">
      <alignment horizontal="distributed" vertical="center"/>
      <protection/>
    </xf>
    <xf numFmtId="198" fontId="3" fillId="0" borderId="2" xfId="71" applyNumberFormat="1" applyBorder="1" applyAlignment="1">
      <alignment horizontal="distributed" vertical="center"/>
      <protection/>
    </xf>
    <xf numFmtId="0" fontId="7" fillId="42" borderId="93" xfId="71" applyFont="1" applyFill="1" applyBorder="1" applyAlignment="1">
      <alignment horizontal="center" vertical="center" wrapText="1"/>
      <protection/>
    </xf>
    <xf numFmtId="0" fontId="7" fillId="42" borderId="100" xfId="71" applyFont="1" applyFill="1" applyBorder="1" applyAlignment="1">
      <alignment horizontal="center" vertical="center"/>
      <protection/>
    </xf>
    <xf numFmtId="0" fontId="3" fillId="0" borderId="16" xfId="71" applyBorder="1" applyAlignment="1">
      <alignment horizontal="center" vertical="center"/>
      <protection/>
    </xf>
    <xf numFmtId="0" fontId="3" fillId="0" borderId="79" xfId="71" applyBorder="1" applyAlignment="1">
      <alignment horizontal="center" vertical="center"/>
      <protection/>
    </xf>
    <xf numFmtId="0" fontId="3" fillId="0" borderId="54" xfId="71" applyBorder="1" applyAlignment="1">
      <alignment horizontal="center" vertical="center"/>
      <protection/>
    </xf>
    <xf numFmtId="0" fontId="15" fillId="42" borderId="58" xfId="71" applyFont="1" applyFill="1" applyBorder="1" applyAlignment="1">
      <alignment horizontal="center" vertical="center"/>
      <protection/>
    </xf>
    <xf numFmtId="0" fontId="15" fillId="42" borderId="1" xfId="71" applyFont="1" applyFill="1" applyBorder="1" applyAlignment="1">
      <alignment horizontal="center" vertical="center"/>
      <protection/>
    </xf>
    <xf numFmtId="0" fontId="15" fillId="42" borderId="59" xfId="71" applyFont="1" applyFill="1" applyBorder="1" applyAlignment="1">
      <alignment horizontal="center" vertical="center"/>
      <protection/>
    </xf>
    <xf numFmtId="0" fontId="7" fillId="42" borderId="53" xfId="71" applyFont="1" applyFill="1" applyBorder="1" applyAlignment="1">
      <alignment horizontal="center" vertical="center"/>
      <protection/>
    </xf>
    <xf numFmtId="0" fontId="7" fillId="42" borderId="41" xfId="71" applyFont="1" applyFill="1" applyBorder="1" applyAlignment="1">
      <alignment horizontal="center" vertical="center"/>
      <protection/>
    </xf>
    <xf numFmtId="0" fontId="7" fillId="42" borderId="58" xfId="71" applyFont="1" applyFill="1" applyBorder="1" applyAlignment="1">
      <alignment horizontal="center" vertical="center"/>
      <protection/>
    </xf>
    <xf numFmtId="0" fontId="7" fillId="42" borderId="1" xfId="71" applyFont="1" applyFill="1" applyBorder="1" applyAlignment="1">
      <alignment horizontal="center" vertical="center"/>
      <protection/>
    </xf>
    <xf numFmtId="0" fontId="3" fillId="0" borderId="1" xfId="71" applyBorder="1" applyAlignment="1">
      <alignment horizontal="left" vertical="center"/>
      <protection/>
    </xf>
    <xf numFmtId="0" fontId="3" fillId="0" borderId="101" xfId="71" applyBorder="1" applyAlignment="1">
      <alignment horizontal="center" vertical="center"/>
      <protection/>
    </xf>
    <xf numFmtId="0" fontId="3" fillId="0" borderId="95" xfId="71" applyBorder="1" applyAlignment="1">
      <alignment horizontal="center" vertical="center"/>
      <protection/>
    </xf>
    <xf numFmtId="0" fontId="3" fillId="0" borderId="59" xfId="71" applyBorder="1" applyAlignment="1">
      <alignment horizontal="left" vertical="center"/>
      <protection/>
    </xf>
    <xf numFmtId="0" fontId="3" fillId="0" borderId="21" xfId="71" applyBorder="1" applyAlignment="1">
      <alignment horizontal="left" vertical="center"/>
      <protection/>
    </xf>
    <xf numFmtId="0" fontId="3" fillId="0" borderId="42" xfId="71" applyBorder="1" applyAlignment="1">
      <alignment horizontal="left" vertical="center"/>
      <protection/>
    </xf>
    <xf numFmtId="0" fontId="7" fillId="42" borderId="55" xfId="71" applyFont="1" applyFill="1" applyBorder="1" applyAlignment="1">
      <alignment horizontal="center" vertical="center"/>
      <protection/>
    </xf>
    <xf numFmtId="0" fontId="7" fillId="42" borderId="36" xfId="71" applyFont="1" applyFill="1" applyBorder="1" applyAlignment="1">
      <alignment horizontal="center" vertical="center"/>
      <protection/>
    </xf>
    <xf numFmtId="0" fontId="7" fillId="42" borderId="63" xfId="71" applyFont="1" applyFill="1" applyBorder="1" applyAlignment="1">
      <alignment horizontal="center" vertical="center"/>
      <protection/>
    </xf>
    <xf numFmtId="0" fontId="7" fillId="42" borderId="88" xfId="71" applyFont="1" applyFill="1" applyBorder="1" applyAlignment="1">
      <alignment horizontal="center" vertical="center"/>
      <protection/>
    </xf>
    <xf numFmtId="0" fontId="7" fillId="0" borderId="21" xfId="71" applyFont="1" applyBorder="1" applyAlignment="1">
      <alignment horizontal="center" vertical="center"/>
      <protection/>
    </xf>
    <xf numFmtId="0" fontId="7" fillId="0" borderId="2" xfId="71" applyFont="1" applyBorder="1" applyAlignment="1">
      <alignment horizontal="center" vertical="center"/>
      <protection/>
    </xf>
    <xf numFmtId="0" fontId="7" fillId="0" borderId="42" xfId="71" applyFont="1" applyBorder="1" applyAlignment="1">
      <alignment horizontal="center" vertical="center"/>
      <protection/>
    </xf>
    <xf numFmtId="0" fontId="7" fillId="0" borderId="40" xfId="71" applyFont="1" applyBorder="1" applyAlignment="1">
      <alignment horizontal="center" vertical="center"/>
      <protection/>
    </xf>
    <xf numFmtId="0" fontId="7" fillId="0" borderId="45" xfId="71" applyFont="1" applyBorder="1" applyAlignment="1">
      <alignment horizontal="center" vertical="center"/>
      <protection/>
    </xf>
    <xf numFmtId="0" fontId="7" fillId="0" borderId="44" xfId="71" applyFont="1" applyBorder="1" applyAlignment="1">
      <alignment horizontal="center" vertical="center"/>
      <protection/>
    </xf>
    <xf numFmtId="0" fontId="3" fillId="0" borderId="18" xfId="71" applyBorder="1" applyAlignment="1">
      <alignment horizontal="left" vertical="center"/>
      <protection/>
    </xf>
    <xf numFmtId="0" fontId="3" fillId="0" borderId="57" xfId="71" applyBorder="1" applyAlignment="1">
      <alignment horizontal="left" vertical="center"/>
      <protection/>
    </xf>
    <xf numFmtId="0" fontId="7" fillId="42" borderId="61" xfId="71" applyFont="1" applyFill="1" applyBorder="1" applyAlignment="1">
      <alignment horizontal="center" vertical="center"/>
      <protection/>
    </xf>
    <xf numFmtId="0" fontId="7" fillId="42" borderId="62" xfId="71" applyFont="1" applyFill="1" applyBorder="1" applyAlignment="1">
      <alignment horizontal="center" vertical="center"/>
      <protection/>
    </xf>
    <xf numFmtId="0" fontId="7" fillId="42" borderId="20" xfId="71" applyFont="1" applyFill="1" applyBorder="1" applyAlignment="1">
      <alignment horizontal="center" vertical="center"/>
      <protection/>
    </xf>
    <xf numFmtId="198" fontId="3" fillId="0" borderId="21" xfId="71" applyNumberFormat="1" applyBorder="1" applyAlignment="1">
      <alignment horizontal="center" vertical="center"/>
      <protection/>
    </xf>
    <xf numFmtId="198" fontId="3" fillId="0" borderId="2" xfId="71" applyNumberFormat="1" applyBorder="1" applyAlignment="1">
      <alignment horizontal="center" vertical="center"/>
      <protection/>
    </xf>
    <xf numFmtId="198" fontId="3" fillId="0" borderId="42" xfId="71" applyNumberFormat="1" applyBorder="1" applyAlignment="1">
      <alignment horizontal="center" vertical="center"/>
      <protection/>
    </xf>
    <xf numFmtId="0" fontId="7" fillId="42" borderId="100" xfId="71" applyFont="1" applyFill="1" applyBorder="1" applyAlignment="1">
      <alignment horizontal="center" vertical="center" wrapText="1"/>
      <protection/>
    </xf>
    <xf numFmtId="0" fontId="3" fillId="0" borderId="16" xfId="71" applyBorder="1" applyAlignment="1">
      <alignment horizontal="left" vertical="center"/>
      <protection/>
    </xf>
    <xf numFmtId="0" fontId="3" fillId="0" borderId="54" xfId="71" applyBorder="1" applyAlignment="1">
      <alignment horizontal="left" vertical="center"/>
      <protection/>
    </xf>
    <xf numFmtId="0" fontId="7" fillId="42" borderId="78" xfId="71" applyFont="1" applyFill="1" applyBorder="1" applyAlignment="1">
      <alignment horizontal="center" vertical="center"/>
      <protection/>
    </xf>
    <xf numFmtId="0" fontId="7" fillId="42" borderId="33" xfId="71" applyFont="1" applyFill="1" applyBorder="1" applyAlignment="1">
      <alignment horizontal="center" vertical="center"/>
      <protection/>
    </xf>
    <xf numFmtId="0" fontId="7" fillId="42" borderId="23" xfId="71" applyFont="1" applyFill="1" applyBorder="1" applyAlignment="1">
      <alignment horizontal="center" vertical="center"/>
      <protection/>
    </xf>
    <xf numFmtId="0" fontId="7" fillId="42" borderId="12" xfId="71" applyFont="1" applyFill="1" applyBorder="1" applyAlignment="1">
      <alignment horizontal="center" vertical="center"/>
      <protection/>
    </xf>
    <xf numFmtId="0" fontId="7" fillId="42" borderId="80" xfId="71" applyFont="1" applyFill="1" applyBorder="1" applyAlignment="1">
      <alignment horizontal="center" vertical="center"/>
      <protection/>
    </xf>
    <xf numFmtId="0" fontId="7" fillId="42" borderId="15" xfId="71" applyFont="1" applyFill="1" applyBorder="1" applyAlignment="1">
      <alignment horizontal="center" vertical="center"/>
      <protection/>
    </xf>
    <xf numFmtId="0" fontId="7" fillId="39" borderId="23" xfId="71" applyFont="1" applyFill="1" applyBorder="1" applyAlignment="1">
      <alignment horizontal="center" vertical="center"/>
      <protection/>
    </xf>
    <xf numFmtId="0" fontId="7" fillId="39" borderId="12" xfId="71" applyFont="1" applyFill="1" applyBorder="1" applyAlignment="1">
      <alignment horizontal="center" vertical="center"/>
      <protection/>
    </xf>
    <xf numFmtId="0" fontId="7" fillId="0" borderId="21" xfId="71" applyFont="1" applyBorder="1" applyAlignment="1">
      <alignment horizontal="left" vertical="center"/>
      <protection/>
    </xf>
    <xf numFmtId="0" fontId="7" fillId="0" borderId="2" xfId="71" applyFont="1" applyBorder="1" applyAlignment="1">
      <alignment horizontal="left" vertical="center"/>
      <protection/>
    </xf>
    <xf numFmtId="0" fontId="7" fillId="0" borderId="42" xfId="71" applyFont="1" applyBorder="1" applyAlignment="1">
      <alignment horizontal="left" vertical="center"/>
      <protection/>
    </xf>
    <xf numFmtId="0" fontId="7" fillId="40" borderId="23" xfId="71" applyFont="1" applyFill="1" applyBorder="1" applyAlignment="1">
      <alignment horizontal="center" vertical="center"/>
      <protection/>
    </xf>
    <xf numFmtId="0" fontId="7" fillId="40" borderId="12" xfId="71" applyFont="1" applyFill="1" applyBorder="1" applyAlignment="1">
      <alignment horizontal="center" vertical="center"/>
      <protection/>
    </xf>
    <xf numFmtId="0" fontId="7" fillId="39" borderId="55" xfId="71" applyFont="1" applyFill="1" applyBorder="1" applyAlignment="1">
      <alignment horizontal="center" vertical="center"/>
      <protection/>
    </xf>
    <xf numFmtId="0" fontId="7" fillId="39" borderId="36" xfId="71" applyFont="1" applyFill="1" applyBorder="1" applyAlignment="1">
      <alignment horizontal="center" vertical="center"/>
      <protection/>
    </xf>
    <xf numFmtId="0" fontId="7" fillId="40" borderId="55" xfId="71" applyFont="1" applyFill="1" applyBorder="1" applyAlignment="1">
      <alignment horizontal="center" vertical="center"/>
      <protection/>
    </xf>
    <xf numFmtId="0" fontId="7" fillId="40" borderId="36" xfId="71" applyFont="1" applyFill="1" applyBorder="1" applyAlignment="1">
      <alignment horizontal="center" vertical="center"/>
      <protection/>
    </xf>
    <xf numFmtId="0" fontId="7" fillId="39" borderId="80" xfId="71" applyFont="1" applyFill="1" applyBorder="1" applyAlignment="1">
      <alignment horizontal="center" vertical="center" wrapText="1"/>
      <protection/>
    </xf>
    <xf numFmtId="0" fontId="7" fillId="39" borderId="78" xfId="71" applyFont="1" applyFill="1" applyBorder="1" applyAlignment="1">
      <alignment horizontal="center" vertical="center"/>
      <protection/>
    </xf>
    <xf numFmtId="0" fontId="7" fillId="40" borderId="80" xfId="71" applyFont="1" applyFill="1" applyBorder="1" applyAlignment="1">
      <alignment horizontal="center" vertical="center" wrapText="1"/>
      <protection/>
    </xf>
    <xf numFmtId="0" fontId="7" fillId="40" borderId="78" xfId="71" applyFont="1" applyFill="1" applyBorder="1" applyAlignment="1">
      <alignment horizontal="center" vertical="center"/>
      <protection/>
    </xf>
    <xf numFmtId="0" fontId="7" fillId="39" borderId="23" xfId="71" applyFont="1" applyFill="1" applyBorder="1" applyAlignment="1">
      <alignment horizontal="center" vertical="center" wrapText="1"/>
      <protection/>
    </xf>
    <xf numFmtId="0" fontId="7" fillId="40" borderId="23" xfId="71" applyFont="1" applyFill="1" applyBorder="1" applyAlignment="1">
      <alignment horizontal="center" vertical="center" wrapText="1"/>
      <protection/>
    </xf>
    <xf numFmtId="0" fontId="7" fillId="0" borderId="14" xfId="71" applyFont="1" applyBorder="1" applyAlignment="1">
      <alignment horizontal="left" vertical="center"/>
      <protection/>
    </xf>
    <xf numFmtId="0" fontId="15" fillId="39" borderId="68" xfId="71" applyFont="1" applyFill="1" applyBorder="1" applyAlignment="1">
      <alignment horizontal="center" vertical="center"/>
      <protection/>
    </xf>
    <xf numFmtId="0" fontId="15" fillId="39" borderId="17" xfId="71" applyFont="1" applyFill="1" applyBorder="1" applyAlignment="1">
      <alignment horizontal="center" vertical="center"/>
      <protection/>
    </xf>
    <xf numFmtId="0" fontId="15" fillId="39" borderId="16" xfId="71" applyFont="1" applyFill="1" applyBorder="1" applyAlignment="1">
      <alignment horizontal="center" vertical="center"/>
      <protection/>
    </xf>
    <xf numFmtId="0" fontId="15" fillId="39" borderId="24" xfId="71" applyFont="1" applyFill="1" applyBorder="1" applyAlignment="1">
      <alignment horizontal="center" vertical="center"/>
      <protection/>
    </xf>
    <xf numFmtId="0" fontId="15" fillId="40" borderId="68" xfId="71" applyFont="1" applyFill="1" applyBorder="1" applyAlignment="1">
      <alignment horizontal="center" vertical="center"/>
      <protection/>
    </xf>
    <xf numFmtId="0" fontId="15" fillId="40" borderId="17" xfId="71" applyFont="1" applyFill="1" applyBorder="1" applyAlignment="1">
      <alignment horizontal="center" vertical="center"/>
      <protection/>
    </xf>
    <xf numFmtId="0" fontId="15" fillId="40" borderId="16" xfId="71" applyFont="1" applyFill="1" applyBorder="1" applyAlignment="1">
      <alignment horizontal="center" vertical="center"/>
      <protection/>
    </xf>
    <xf numFmtId="0" fontId="15" fillId="40" borderId="24" xfId="71" applyFont="1" applyFill="1" applyBorder="1" applyAlignment="1">
      <alignment horizontal="center" vertical="center"/>
      <protection/>
    </xf>
    <xf numFmtId="0" fontId="7" fillId="42" borderId="15" xfId="71" applyFont="1" applyFill="1" applyBorder="1" applyAlignment="1">
      <alignment horizontal="center" vertical="center" wrapText="1"/>
      <protection/>
    </xf>
    <xf numFmtId="0" fontId="7" fillId="42" borderId="34" xfId="71" applyFont="1" applyFill="1" applyBorder="1" applyAlignment="1">
      <alignment horizontal="center" vertical="center" wrapText="1"/>
      <protection/>
    </xf>
    <xf numFmtId="0" fontId="7" fillId="42" borderId="33" xfId="71" applyFont="1" applyFill="1" applyBorder="1" applyAlignment="1">
      <alignment horizontal="center" vertical="center" wrapText="1"/>
      <protection/>
    </xf>
    <xf numFmtId="0" fontId="3" fillId="0" borderId="18" xfId="71" applyBorder="1" applyAlignment="1">
      <alignment horizontal="center" vertical="center"/>
      <protection/>
    </xf>
    <xf numFmtId="0" fontId="3" fillId="0" borderId="57" xfId="71" applyBorder="1" applyAlignment="1">
      <alignment horizontal="center" vertical="center"/>
      <protection/>
    </xf>
    <xf numFmtId="0" fontId="7" fillId="42" borderId="18" xfId="71" applyFont="1" applyFill="1" applyBorder="1" applyAlignment="1">
      <alignment horizontal="center" vertical="center" wrapText="1"/>
      <protection/>
    </xf>
    <xf numFmtId="0" fontId="7" fillId="42" borderId="81" xfId="71" applyFont="1" applyFill="1" applyBorder="1" applyAlignment="1">
      <alignment horizontal="center" vertical="center" wrapText="1"/>
      <protection/>
    </xf>
    <xf numFmtId="214" fontId="3" fillId="0" borderId="21" xfId="71" applyNumberFormat="1" applyBorder="1" applyAlignment="1">
      <alignment horizontal="center" vertical="center"/>
      <protection/>
    </xf>
    <xf numFmtId="214" fontId="3" fillId="0" borderId="42" xfId="71" applyNumberFormat="1" applyBorder="1" applyAlignment="1">
      <alignment horizontal="center" vertical="center"/>
      <protection/>
    </xf>
    <xf numFmtId="0" fontId="18" fillId="42" borderId="15" xfId="71" applyFont="1" applyFill="1" applyBorder="1" applyAlignment="1">
      <alignment horizontal="center" vertical="center" wrapText="1"/>
      <protection/>
    </xf>
    <xf numFmtId="0" fontId="18" fillId="42" borderId="34" xfId="71" applyFont="1" applyFill="1" applyBorder="1" applyAlignment="1">
      <alignment horizontal="center" vertical="center"/>
      <protection/>
    </xf>
    <xf numFmtId="0" fontId="18" fillId="42" borderId="33" xfId="71" applyFont="1" applyFill="1" applyBorder="1" applyAlignment="1">
      <alignment horizontal="center" vertical="center"/>
      <protection/>
    </xf>
    <xf numFmtId="0" fontId="3" fillId="0" borderId="35" xfId="71" applyBorder="1" applyAlignment="1">
      <alignment horizontal="center" vertical="center"/>
      <protection/>
    </xf>
    <xf numFmtId="0" fontId="3" fillId="0" borderId="64" xfId="71" applyBorder="1" applyAlignment="1">
      <alignment horizontal="center" vertical="center"/>
      <protection/>
    </xf>
    <xf numFmtId="0" fontId="3" fillId="0" borderId="37" xfId="71" applyBorder="1" applyAlignment="1">
      <alignment horizontal="center" vertical="center"/>
      <protection/>
    </xf>
    <xf numFmtId="0" fontId="3" fillId="0" borderId="0" xfId="71" applyAlignment="1">
      <alignment horizontal="center" vertical="center"/>
      <protection/>
    </xf>
    <xf numFmtId="0" fontId="3" fillId="0" borderId="85" xfId="71" applyBorder="1" applyAlignment="1">
      <alignment horizontal="center" vertical="center"/>
      <protection/>
    </xf>
    <xf numFmtId="0" fontId="3" fillId="0" borderId="21" xfId="71" applyBorder="1" applyAlignment="1">
      <alignment horizontal="distributed" vertical="center"/>
      <protection/>
    </xf>
    <xf numFmtId="0" fontId="3" fillId="0" borderId="42" xfId="71" applyBorder="1" applyAlignment="1">
      <alignment horizontal="distributed" vertical="center"/>
      <protection/>
    </xf>
    <xf numFmtId="189" fontId="7" fillId="0" borderId="21" xfId="71" applyNumberFormat="1" applyFont="1" applyBorder="1">
      <alignment vertical="center"/>
      <protection/>
    </xf>
    <xf numFmtId="189" fontId="7" fillId="0" borderId="2" xfId="71" applyNumberFormat="1" applyFont="1" applyBorder="1">
      <alignment vertical="center"/>
      <protection/>
    </xf>
    <xf numFmtId="189" fontId="7" fillId="0" borderId="42" xfId="71" applyNumberFormat="1" applyFont="1" applyBorder="1">
      <alignment vertical="center"/>
      <protection/>
    </xf>
    <xf numFmtId="0" fontId="7" fillId="42" borderId="93" xfId="71" applyFont="1" applyFill="1" applyBorder="1" applyAlignment="1">
      <alignment horizontal="center" vertical="top" wrapText="1"/>
      <protection/>
    </xf>
    <xf numFmtId="0" fontId="7" fillId="42" borderId="100" xfId="71" applyFont="1" applyFill="1" applyBorder="1" applyAlignment="1">
      <alignment horizontal="center" vertical="top" wrapText="1"/>
      <protection/>
    </xf>
    <xf numFmtId="0" fontId="7" fillId="42" borderId="94" xfId="71" applyFont="1" applyFill="1" applyBorder="1" applyAlignment="1">
      <alignment horizontal="center" vertical="top" wrapText="1"/>
      <protection/>
    </xf>
    <xf numFmtId="0" fontId="7" fillId="0" borderId="16" xfId="71" applyFont="1" applyBorder="1" applyAlignment="1">
      <alignment horizontal="center" vertical="center"/>
      <protection/>
    </xf>
    <xf numFmtId="0" fontId="7" fillId="0" borderId="79" xfId="71" applyFont="1" applyBorder="1" applyAlignment="1">
      <alignment horizontal="center" vertical="center"/>
      <protection/>
    </xf>
    <xf numFmtId="0" fontId="7" fillId="0" borderId="54" xfId="71" applyFont="1" applyBorder="1" applyAlignment="1">
      <alignment horizontal="center" vertical="center"/>
      <protection/>
    </xf>
    <xf numFmtId="188" fontId="7" fillId="0" borderId="21" xfId="71" applyNumberFormat="1" applyFont="1" applyBorder="1" applyAlignment="1">
      <alignment horizontal="center" vertical="center"/>
      <protection/>
    </xf>
    <xf numFmtId="188" fontId="7" fillId="0" borderId="2" xfId="71" applyNumberFormat="1" applyFont="1" applyBorder="1" applyAlignment="1">
      <alignment horizontal="center" vertical="center"/>
      <protection/>
    </xf>
    <xf numFmtId="188" fontId="7" fillId="0" borderId="42" xfId="71" applyNumberFormat="1" applyFont="1" applyBorder="1" applyAlignment="1">
      <alignment horizontal="center" vertical="center"/>
      <protection/>
    </xf>
    <xf numFmtId="0" fontId="7" fillId="42" borderId="12" xfId="71" applyFont="1" applyFill="1" applyBorder="1" applyAlignment="1">
      <alignment horizontal="center" vertical="center" wrapText="1"/>
      <protection/>
    </xf>
    <xf numFmtId="0" fontId="7" fillId="40" borderId="100" xfId="71" applyFont="1" applyFill="1" applyBorder="1" applyAlignment="1">
      <alignment horizontal="center" vertical="center"/>
      <protection/>
    </xf>
    <xf numFmtId="0" fontId="7" fillId="39" borderId="100" xfId="71" applyFont="1" applyFill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5" fillId="39" borderId="53" xfId="71" applyFont="1" applyFill="1" applyBorder="1" applyAlignment="1">
      <alignment horizontal="center" vertical="center"/>
      <protection/>
    </xf>
    <xf numFmtId="0" fontId="15" fillId="39" borderId="79" xfId="71" applyFont="1" applyFill="1" applyBorder="1" applyAlignment="1">
      <alignment horizontal="center" vertical="center"/>
      <protection/>
    </xf>
    <xf numFmtId="0" fontId="15" fillId="39" borderId="54" xfId="71" applyFont="1" applyFill="1" applyBorder="1" applyAlignment="1">
      <alignment horizontal="center" vertical="center"/>
      <protection/>
    </xf>
    <xf numFmtId="0" fontId="15" fillId="40" borderId="53" xfId="71" applyFont="1" applyFill="1" applyBorder="1" applyAlignment="1">
      <alignment horizontal="center" vertical="center"/>
      <protection/>
    </xf>
    <xf numFmtId="0" fontId="15" fillId="40" borderId="79" xfId="71" applyFont="1" applyFill="1" applyBorder="1" applyAlignment="1">
      <alignment horizontal="center" vertical="center"/>
      <protection/>
    </xf>
    <xf numFmtId="0" fontId="15" fillId="40" borderId="54" xfId="71" applyFont="1" applyFill="1" applyBorder="1" applyAlignment="1">
      <alignment horizontal="center" vertical="center"/>
      <protection/>
    </xf>
    <xf numFmtId="0" fontId="3" fillId="0" borderId="0" xfId="71" applyAlignment="1" applyProtection="1">
      <alignment horizontal="right" vertical="center" shrinkToFit="1"/>
      <protection hidden="1"/>
    </xf>
    <xf numFmtId="0" fontId="3" fillId="0" borderId="0" xfId="71" applyAlignment="1" applyProtection="1">
      <alignment vertical="center" shrinkToFit="1"/>
      <protection hidden="1"/>
    </xf>
    <xf numFmtId="0" fontId="3" fillId="0" borderId="38" xfId="71" applyBorder="1" applyAlignment="1" applyProtection="1">
      <alignment vertical="center" shrinkToFit="1"/>
      <protection hidden="1"/>
    </xf>
    <xf numFmtId="179" fontId="3" fillId="0" borderId="21" xfId="75" applyNumberFormat="1" applyBorder="1" applyAlignment="1" applyProtection="1">
      <alignment horizontal="right" vertical="center" shrinkToFit="1"/>
      <protection hidden="1"/>
    </xf>
    <xf numFmtId="179" fontId="3" fillId="0" borderId="2" xfId="71" applyNumberFormat="1" applyBorder="1" applyAlignment="1" applyProtection="1">
      <alignment horizontal="right" vertical="center" shrinkToFit="1"/>
      <protection hidden="1"/>
    </xf>
    <xf numFmtId="179" fontId="3" fillId="0" borderId="36" xfId="71" applyNumberFormat="1" applyBorder="1" applyAlignment="1" applyProtection="1">
      <alignment horizontal="right" vertical="center" shrinkToFit="1"/>
      <protection hidden="1"/>
    </xf>
    <xf numFmtId="0" fontId="16" fillId="0" borderId="0" xfId="71" applyFont="1" applyAlignment="1" applyProtection="1">
      <alignment horizontal="left" vertical="center"/>
      <protection hidden="1"/>
    </xf>
    <xf numFmtId="179" fontId="7" fillId="0" borderId="58" xfId="75" applyNumberFormat="1" applyFont="1" applyBorder="1" applyAlignment="1" applyProtection="1">
      <alignment horizontal="right" vertical="center" shrinkToFit="1"/>
      <protection hidden="1"/>
    </xf>
    <xf numFmtId="179" fontId="7" fillId="0" borderId="1" xfId="71" applyNumberFormat="1" applyFont="1" applyBorder="1" applyAlignment="1" applyProtection="1">
      <alignment horizontal="right" vertical="center" shrinkToFit="1"/>
      <protection hidden="1"/>
    </xf>
    <xf numFmtId="179" fontId="7" fillId="0" borderId="59" xfId="71" applyNumberFormat="1" applyFont="1" applyBorder="1" applyAlignment="1" applyProtection="1">
      <alignment horizontal="right" vertical="center" shrinkToFit="1"/>
      <protection hidden="1"/>
    </xf>
    <xf numFmtId="0" fontId="3" fillId="28" borderId="12" xfId="71" applyFill="1" applyBorder="1" applyAlignment="1" applyProtection="1">
      <alignment horizontal="center" vertical="center"/>
      <protection hidden="1"/>
    </xf>
    <xf numFmtId="49" fontId="3" fillId="0" borderId="21" xfId="75" applyNumberFormat="1" applyBorder="1" applyAlignment="1" applyProtection="1">
      <alignment horizontal="left" vertical="center" shrinkToFit="1"/>
      <protection hidden="1" locked="0"/>
    </xf>
    <xf numFmtId="49" fontId="3" fillId="0" borderId="2" xfId="75" applyNumberFormat="1" applyBorder="1" applyAlignment="1" applyProtection="1">
      <alignment horizontal="left" vertical="center" shrinkToFit="1"/>
      <protection hidden="1" locked="0"/>
    </xf>
    <xf numFmtId="49" fontId="3" fillId="0" borderId="102" xfId="75" applyNumberFormat="1" applyBorder="1" applyAlignment="1" applyProtection="1">
      <alignment horizontal="left" vertical="center" shrinkToFit="1"/>
      <protection hidden="1" locked="0"/>
    </xf>
    <xf numFmtId="49" fontId="3" fillId="0" borderId="103" xfId="75" applyNumberFormat="1" applyBorder="1" applyAlignment="1" applyProtection="1">
      <alignment horizontal="left" vertical="center" shrinkToFit="1"/>
      <protection hidden="1" locked="0"/>
    </xf>
    <xf numFmtId="49" fontId="0" fillId="0" borderId="103" xfId="75" applyNumberFormat="1" applyFont="1" applyBorder="1" applyAlignment="1" applyProtection="1">
      <alignment horizontal="center" vertical="center" shrinkToFit="1"/>
      <protection hidden="1" locked="0"/>
    </xf>
    <xf numFmtId="49" fontId="0" fillId="0" borderId="2" xfId="75" applyNumberFormat="1" applyFont="1" applyBorder="1" applyAlignment="1" applyProtection="1">
      <alignment horizontal="center" vertical="center" shrinkToFit="1"/>
      <protection hidden="1" locked="0"/>
    </xf>
    <xf numFmtId="49" fontId="0" fillId="0" borderId="102" xfId="75" applyNumberFormat="1" applyFont="1" applyBorder="1" applyAlignment="1" applyProtection="1">
      <alignment horizontal="center" vertical="center" shrinkToFit="1"/>
      <protection hidden="1" locked="0"/>
    </xf>
    <xf numFmtId="179" fontId="3" fillId="0" borderId="103" xfId="75" applyNumberFormat="1" applyBorder="1" applyAlignment="1" applyProtection="1">
      <alignment horizontal="right" vertical="center" shrinkToFit="1"/>
      <protection hidden="1" locked="0"/>
    </xf>
    <xf numFmtId="179" fontId="3" fillId="0" borderId="2" xfId="71" applyNumberFormat="1" applyBorder="1" applyAlignment="1" applyProtection="1">
      <alignment horizontal="right" vertical="center" shrinkToFit="1"/>
      <protection hidden="1" locked="0"/>
    </xf>
    <xf numFmtId="179" fontId="3" fillId="0" borderId="36" xfId="71" applyNumberFormat="1" applyBorder="1" applyAlignment="1" applyProtection="1">
      <alignment horizontal="right" vertical="center" shrinkToFit="1"/>
      <protection hidden="1" locked="0"/>
    </xf>
    <xf numFmtId="0" fontId="3" fillId="0" borderId="45" xfId="71" applyBorder="1" applyAlignment="1" applyProtection="1">
      <alignment horizontal="right" vertical="center" shrinkToFit="1"/>
      <protection hidden="1"/>
    </xf>
    <xf numFmtId="0" fontId="3" fillId="0" borderId="88" xfId="71" applyBorder="1" applyAlignment="1" applyProtection="1">
      <alignment horizontal="right" vertical="center" shrinkToFit="1"/>
      <protection hidden="1"/>
    </xf>
    <xf numFmtId="49" fontId="3" fillId="0" borderId="40" xfId="75" applyNumberFormat="1" applyBorder="1" applyAlignment="1" applyProtection="1">
      <alignment horizontal="left" vertical="center" shrinkToFit="1"/>
      <protection hidden="1" locked="0"/>
    </xf>
    <xf numFmtId="49" fontId="3" fillId="0" borderId="45" xfId="75" applyNumberFormat="1" applyBorder="1" applyAlignment="1" applyProtection="1">
      <alignment horizontal="left" vertical="center" shrinkToFit="1"/>
      <protection hidden="1" locked="0"/>
    </xf>
    <xf numFmtId="49" fontId="3" fillId="0" borderId="104" xfId="75" applyNumberFormat="1" applyBorder="1" applyAlignment="1" applyProtection="1">
      <alignment horizontal="left" vertical="center" shrinkToFit="1"/>
      <protection hidden="1" locked="0"/>
    </xf>
    <xf numFmtId="49" fontId="3" fillId="0" borderId="46" xfId="75" applyNumberFormat="1" applyBorder="1" applyAlignment="1" applyProtection="1">
      <alignment horizontal="left" vertical="center" shrinkToFit="1"/>
      <protection hidden="1" locked="0"/>
    </xf>
    <xf numFmtId="179" fontId="3" fillId="0" borderId="46" xfId="75" applyNumberFormat="1" applyBorder="1" applyAlignment="1" applyProtection="1">
      <alignment horizontal="right" vertical="center" shrinkToFit="1"/>
      <protection hidden="1" locked="0"/>
    </xf>
    <xf numFmtId="179" fontId="3" fillId="0" borderId="45" xfId="71" applyNumberFormat="1" applyBorder="1" applyAlignment="1" applyProtection="1">
      <alignment horizontal="right" vertical="center" shrinkToFit="1"/>
      <protection hidden="1" locked="0"/>
    </xf>
    <xf numFmtId="179" fontId="3" fillId="0" borderId="88" xfId="71" applyNumberFormat="1" applyBorder="1" applyAlignment="1" applyProtection="1">
      <alignment horizontal="right" vertical="center" shrinkToFit="1"/>
      <protection hidden="1" locked="0"/>
    </xf>
    <xf numFmtId="0" fontId="3" fillId="0" borderId="39" xfId="71" applyBorder="1" applyAlignment="1" applyProtection="1">
      <alignment horizontal="left" vertical="center"/>
      <protection hidden="1"/>
    </xf>
    <xf numFmtId="49" fontId="0" fillId="40" borderId="21" xfId="75" applyNumberFormat="1" applyFont="1" applyFill="1" applyBorder="1" applyAlignment="1" applyProtection="1">
      <alignment horizontal="center" vertical="center" shrinkToFit="1"/>
      <protection hidden="1"/>
    </xf>
    <xf numFmtId="0" fontId="3" fillId="40" borderId="2" xfId="75" applyFill="1" applyBorder="1" applyAlignment="1" applyProtection="1">
      <alignment horizontal="center" vertical="center" shrinkToFit="1"/>
      <protection hidden="1"/>
    </xf>
    <xf numFmtId="0" fontId="3" fillId="40" borderId="102" xfId="75" applyFill="1" applyBorder="1" applyAlignment="1" applyProtection="1">
      <alignment horizontal="center" vertical="center" shrinkToFit="1"/>
      <protection hidden="1"/>
    </xf>
    <xf numFmtId="49" fontId="0" fillId="40" borderId="103" xfId="75" applyNumberFormat="1" applyFont="1" applyFill="1" applyBorder="1" applyAlignment="1" applyProtection="1">
      <alignment horizontal="center" vertical="center" shrinkToFit="1"/>
      <protection hidden="1"/>
    </xf>
    <xf numFmtId="49" fontId="0" fillId="40" borderId="2" xfId="75" applyNumberFormat="1" applyFont="1" applyFill="1" applyBorder="1" applyAlignment="1" applyProtection="1">
      <alignment horizontal="center" vertical="center" shrinkToFit="1"/>
      <protection hidden="1"/>
    </xf>
    <xf numFmtId="49" fontId="0" fillId="40" borderId="102" xfId="75" applyNumberFormat="1" applyFont="1" applyFill="1" applyBorder="1" applyAlignment="1" applyProtection="1">
      <alignment horizontal="center" vertical="center" shrinkToFit="1"/>
      <protection hidden="1"/>
    </xf>
    <xf numFmtId="0" fontId="3" fillId="0" borderId="2" xfId="71" applyBorder="1" applyAlignment="1" applyProtection="1">
      <alignment horizontal="center" vertical="center" shrinkToFit="1"/>
      <protection hidden="1"/>
    </xf>
    <xf numFmtId="0" fontId="3" fillId="0" borderId="36" xfId="71" applyBorder="1" applyAlignment="1" applyProtection="1">
      <alignment horizontal="center" vertical="center" shrinkToFit="1"/>
      <protection hidden="1"/>
    </xf>
    <xf numFmtId="49" fontId="0" fillId="0" borderId="21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103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40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46" xfId="75" applyNumberFormat="1" applyFont="1" applyBorder="1" applyAlignment="1" applyProtection="1">
      <alignment horizontal="left" vertical="center" shrinkToFit="1"/>
      <protection hidden="1" locked="0"/>
    </xf>
    <xf numFmtId="49" fontId="3" fillId="40" borderId="21" xfId="75" applyNumberFormat="1" applyFill="1" applyBorder="1" applyAlignment="1" applyProtection="1">
      <alignment horizontal="center" vertical="center" shrinkToFit="1"/>
      <protection hidden="1"/>
    </xf>
    <xf numFmtId="49" fontId="3" fillId="40" borderId="103" xfId="75" applyNumberFormat="1" applyFill="1" applyBorder="1" applyAlignment="1" applyProtection="1">
      <alignment horizontal="center" vertical="center" shrinkToFit="1"/>
      <protection hidden="1"/>
    </xf>
    <xf numFmtId="49" fontId="3" fillId="40" borderId="2" xfId="75" applyNumberFormat="1" applyFill="1" applyBorder="1" applyAlignment="1" applyProtection="1">
      <alignment horizontal="center" vertical="center" shrinkToFit="1"/>
      <protection hidden="1"/>
    </xf>
    <xf numFmtId="49" fontId="3" fillId="40" borderId="102" xfId="75" applyNumberFormat="1" applyFill="1" applyBorder="1" applyAlignment="1" applyProtection="1">
      <alignment horizontal="center" vertical="center" shrinkToFit="1"/>
      <protection hidden="1"/>
    </xf>
    <xf numFmtId="0" fontId="3" fillId="0" borderId="2" xfId="71" applyBorder="1" applyAlignment="1" applyProtection="1">
      <alignment horizontal="left" vertical="center" shrinkToFit="1"/>
      <protection hidden="1" locked="0"/>
    </xf>
    <xf numFmtId="0" fontId="3" fillId="0" borderId="102" xfId="71" applyBorder="1" applyAlignment="1" applyProtection="1">
      <alignment horizontal="left" vertical="center" shrinkToFit="1"/>
      <protection hidden="1" locked="0"/>
    </xf>
    <xf numFmtId="49" fontId="0" fillId="0" borderId="103" xfId="75" applyNumberFormat="1" applyFont="1" applyBorder="1" applyAlignment="1" applyProtection="1">
      <alignment vertical="center" shrinkToFit="1"/>
      <protection hidden="1" locked="0"/>
    </xf>
    <xf numFmtId="0" fontId="3" fillId="0" borderId="2" xfId="71" applyBorder="1" applyAlignment="1" applyProtection="1">
      <alignment vertical="center" shrinkToFit="1"/>
      <protection hidden="1" locked="0"/>
    </xf>
    <xf numFmtId="49" fontId="0" fillId="0" borderId="35" xfId="75" applyNumberFormat="1" applyFont="1" applyBorder="1" applyAlignment="1" applyProtection="1">
      <alignment horizontal="left" vertical="center" shrinkToFit="1"/>
      <protection hidden="1" locked="0"/>
    </xf>
    <xf numFmtId="0" fontId="3" fillId="0" borderId="39" xfId="71" applyBorder="1" applyAlignment="1" applyProtection="1">
      <alignment horizontal="left" vertical="center" shrinkToFit="1"/>
      <protection hidden="1" locked="0"/>
    </xf>
    <xf numFmtId="0" fontId="3" fillId="0" borderId="105" xfId="71" applyBorder="1" applyAlignment="1" applyProtection="1">
      <alignment horizontal="left" vertical="center" shrinkToFit="1"/>
      <protection hidden="1" locked="0"/>
    </xf>
    <xf numFmtId="49" fontId="0" fillId="0" borderId="48" xfId="75" applyNumberFormat="1" applyFont="1" applyBorder="1" applyAlignment="1" applyProtection="1">
      <alignment vertical="center" shrinkToFit="1"/>
      <protection hidden="1" locked="0"/>
    </xf>
    <xf numFmtId="0" fontId="3" fillId="0" borderId="39" xfId="71" applyBorder="1" applyAlignment="1" applyProtection="1">
      <alignment vertical="center" shrinkToFit="1"/>
      <protection hidden="1" locked="0"/>
    </xf>
    <xf numFmtId="0" fontId="3" fillId="40" borderId="2" xfId="71" applyFill="1" applyBorder="1" applyAlignment="1" applyProtection="1">
      <alignment horizontal="center" vertical="center" shrinkToFit="1"/>
      <protection hidden="1"/>
    </xf>
    <xf numFmtId="0" fontId="3" fillId="40" borderId="102" xfId="71" applyFill="1" applyBorder="1" applyAlignment="1" applyProtection="1">
      <alignment horizontal="center" vertical="center" shrinkToFit="1"/>
      <protection hidden="1"/>
    </xf>
    <xf numFmtId="0" fontId="3" fillId="0" borderId="45" xfId="71" applyBorder="1" applyAlignment="1" applyProtection="1">
      <alignment horizontal="left" vertical="center" shrinkToFit="1"/>
      <protection hidden="1" locked="0"/>
    </xf>
    <xf numFmtId="0" fontId="3" fillId="0" borderId="104" xfId="71" applyBorder="1" applyAlignment="1" applyProtection="1">
      <alignment horizontal="left" vertical="center" shrinkToFit="1"/>
      <protection hidden="1" locked="0"/>
    </xf>
    <xf numFmtId="49" fontId="0" fillId="0" borderId="46" xfId="75" applyNumberFormat="1" applyFont="1" applyBorder="1" applyAlignment="1" applyProtection="1">
      <alignment vertical="center" shrinkToFit="1"/>
      <protection hidden="1" locked="0"/>
    </xf>
    <xf numFmtId="0" fontId="3" fillId="0" borderId="45" xfId="71" applyBorder="1" applyAlignment="1" applyProtection="1">
      <alignment vertical="center" shrinkToFit="1"/>
      <protection hidden="1" locked="0"/>
    </xf>
    <xf numFmtId="179" fontId="0" fillId="0" borderId="21" xfId="75" applyNumberFormat="1" applyFont="1" applyBorder="1" applyAlignment="1" applyProtection="1">
      <alignment vertical="center" shrinkToFit="1"/>
      <protection hidden="1" locked="0"/>
    </xf>
    <xf numFmtId="179" fontId="0" fillId="0" borderId="2" xfId="75" applyNumberFormat="1" applyFont="1" applyBorder="1" applyAlignment="1" applyProtection="1">
      <alignment vertical="center" shrinkToFit="1"/>
      <protection hidden="1" locked="0"/>
    </xf>
    <xf numFmtId="179" fontId="0" fillId="0" borderId="102" xfId="75" applyNumberFormat="1" applyFont="1" applyBorder="1" applyAlignment="1" applyProtection="1">
      <alignment vertical="center" shrinkToFit="1"/>
      <protection hidden="1" locked="0"/>
    </xf>
    <xf numFmtId="49" fontId="0" fillId="0" borderId="2" xfId="75" applyNumberFormat="1" applyFont="1" applyBorder="1" applyAlignment="1" applyProtection="1">
      <alignment vertical="center" shrinkToFit="1"/>
      <protection hidden="1" locked="0"/>
    </xf>
    <xf numFmtId="49" fontId="0" fillId="0" borderId="102" xfId="75" applyNumberFormat="1" applyFont="1" applyBorder="1" applyAlignment="1" applyProtection="1">
      <alignment vertical="center" shrinkToFit="1"/>
      <protection hidden="1" locked="0"/>
    </xf>
    <xf numFmtId="49" fontId="3" fillId="0" borderId="103" xfId="71" applyNumberFormat="1" applyBorder="1" applyAlignment="1" applyProtection="1">
      <alignment horizontal="center" vertical="center" shrinkToFit="1"/>
      <protection hidden="1" locked="0"/>
    </xf>
    <xf numFmtId="49" fontId="3" fillId="0" borderId="2" xfId="71" applyNumberFormat="1" applyBorder="1" applyAlignment="1" applyProtection="1">
      <alignment horizontal="center" vertical="center" shrinkToFit="1"/>
      <protection hidden="1" locked="0"/>
    </xf>
    <xf numFmtId="49" fontId="3" fillId="0" borderId="102" xfId="71" applyNumberFormat="1" applyBorder="1" applyAlignment="1" applyProtection="1">
      <alignment horizontal="center" vertical="center" shrinkToFit="1"/>
      <protection hidden="1" locked="0"/>
    </xf>
    <xf numFmtId="179" fontId="0" fillId="0" borderId="103" xfId="75" applyNumberFormat="1" applyFont="1" applyBorder="1" applyAlignment="1" applyProtection="1">
      <alignment horizontal="right" vertical="center" shrinkToFit="1"/>
      <protection hidden="1" locked="0"/>
    </xf>
    <xf numFmtId="179" fontId="0" fillId="0" borderId="2" xfId="75" applyNumberFormat="1" applyFont="1" applyBorder="1" applyAlignment="1" applyProtection="1">
      <alignment horizontal="right" vertical="center" shrinkToFit="1"/>
      <protection hidden="1" locked="0"/>
    </xf>
    <xf numFmtId="179" fontId="0" fillId="0" borderId="36" xfId="75" applyNumberFormat="1" applyFont="1" applyBorder="1" applyAlignment="1" applyProtection="1">
      <alignment horizontal="right" vertical="center" shrinkToFit="1"/>
      <protection hidden="1" locked="0"/>
    </xf>
    <xf numFmtId="179" fontId="0" fillId="0" borderId="21" xfId="75" applyNumberFormat="1" applyFont="1" applyBorder="1" applyAlignment="1" applyProtection="1">
      <alignment horizontal="right" vertical="center" shrinkToFit="1"/>
      <protection hidden="1"/>
    </xf>
    <xf numFmtId="0" fontId="3" fillId="0" borderId="39" xfId="71" applyBorder="1" applyAlignment="1" applyProtection="1">
      <alignment horizontal="right" vertical="center" shrinkToFit="1"/>
      <protection hidden="1"/>
    </xf>
    <xf numFmtId="0" fontId="0" fillId="40" borderId="21" xfId="75" applyFont="1" applyFill="1" applyBorder="1" applyAlignment="1" applyProtection="1">
      <alignment horizontal="center" vertical="center" shrinkToFit="1"/>
      <protection hidden="1"/>
    </xf>
    <xf numFmtId="0" fontId="0" fillId="40" borderId="2" xfId="75" applyFont="1" applyFill="1" applyBorder="1" applyAlignment="1" applyProtection="1">
      <alignment horizontal="center" vertical="center" shrinkToFit="1"/>
      <protection hidden="1"/>
    </xf>
    <xf numFmtId="0" fontId="0" fillId="40" borderId="102" xfId="75" applyFont="1" applyFill="1" applyBorder="1" applyAlignment="1" applyProtection="1">
      <alignment horizontal="center" vertical="center" shrinkToFit="1"/>
      <protection hidden="1"/>
    </xf>
    <xf numFmtId="49" fontId="0" fillId="40" borderId="103" xfId="75" applyNumberFormat="1" applyFont="1" applyFill="1" applyBorder="1" applyAlignment="1" applyProtection="1">
      <alignment horizontal="center" vertical="center"/>
      <protection hidden="1"/>
    </xf>
    <xf numFmtId="49" fontId="0" fillId="40" borderId="2" xfId="75" applyNumberFormat="1" applyFont="1" applyFill="1" applyBorder="1" applyAlignment="1" applyProtection="1">
      <alignment horizontal="center" vertical="center"/>
      <protection hidden="1"/>
    </xf>
    <xf numFmtId="49" fontId="0" fillId="40" borderId="102" xfId="75" applyNumberFormat="1" applyFont="1" applyFill="1" applyBorder="1" applyAlignment="1" applyProtection="1">
      <alignment horizontal="center" vertical="center"/>
      <protection hidden="1"/>
    </xf>
    <xf numFmtId="0" fontId="3" fillId="40" borderId="103" xfId="71" applyFill="1" applyBorder="1" applyAlignment="1" applyProtection="1">
      <alignment horizontal="center" vertical="center" shrinkToFit="1"/>
      <protection hidden="1"/>
    </xf>
    <xf numFmtId="0" fontId="3" fillId="40" borderId="36" xfId="71" applyFill="1" applyBorder="1" applyAlignment="1" applyProtection="1">
      <alignment horizontal="center" vertical="center" shrinkToFit="1"/>
      <protection hidden="1"/>
    </xf>
    <xf numFmtId="0" fontId="3" fillId="0" borderId="2" xfId="71" applyBorder="1" applyProtection="1">
      <alignment vertical="center"/>
      <protection hidden="1" locked="0"/>
    </xf>
    <xf numFmtId="0" fontId="3" fillId="0" borderId="102" xfId="71" applyBorder="1" applyProtection="1">
      <alignment vertical="center"/>
      <protection hidden="1" locked="0"/>
    </xf>
    <xf numFmtId="49" fontId="0" fillId="0" borderId="2" xfId="75" applyNumberFormat="1" applyFont="1" applyBorder="1" applyAlignment="1" applyProtection="1">
      <alignment horizontal="left" vertical="center" shrinkToFit="1"/>
      <protection hidden="1" locked="0"/>
    </xf>
    <xf numFmtId="49" fontId="0" fillId="0" borderId="102" xfId="75" applyNumberFormat="1" applyFont="1" applyBorder="1" applyAlignment="1" applyProtection="1">
      <alignment horizontal="left" vertical="center" shrinkToFit="1"/>
      <protection hidden="1" locked="0"/>
    </xf>
    <xf numFmtId="179" fontId="3" fillId="0" borderId="103" xfId="75" applyNumberFormat="1" applyBorder="1" applyAlignment="1" applyProtection="1">
      <alignment vertical="center" shrinkToFit="1"/>
      <protection hidden="1" locked="0"/>
    </xf>
    <xf numFmtId="179" fontId="3" fillId="0" borderId="2" xfId="75" applyNumberFormat="1" applyBorder="1" applyAlignment="1" applyProtection="1">
      <alignment vertical="center" shrinkToFit="1"/>
      <protection hidden="1" locked="0"/>
    </xf>
    <xf numFmtId="179" fontId="3" fillId="0" borderId="36" xfId="75" applyNumberFormat="1" applyBorder="1" applyAlignment="1" applyProtection="1">
      <alignment vertical="center" shrinkToFit="1"/>
      <protection hidden="1" locked="0"/>
    </xf>
    <xf numFmtId="179" fontId="3" fillId="0" borderId="2" xfId="75" applyNumberFormat="1" applyBorder="1" applyAlignment="1" applyProtection="1">
      <alignment horizontal="right" vertical="center" shrinkToFit="1"/>
      <protection hidden="1"/>
    </xf>
    <xf numFmtId="179" fontId="3" fillId="0" borderId="36" xfId="75" applyNumberFormat="1" applyBorder="1" applyAlignment="1" applyProtection="1">
      <alignment horizontal="right" vertical="center" shrinkToFit="1"/>
      <protection hidden="1"/>
    </xf>
    <xf numFmtId="0" fontId="3" fillId="0" borderId="2" xfId="71" applyBorder="1" applyProtection="1">
      <alignment vertical="center"/>
      <protection hidden="1"/>
    </xf>
    <xf numFmtId="0" fontId="3" fillId="0" borderId="102" xfId="71" applyBorder="1" applyProtection="1">
      <alignment vertical="center"/>
      <protection hidden="1"/>
    </xf>
    <xf numFmtId="49" fontId="3" fillId="40" borderId="36" xfId="75" applyNumberFormat="1" applyFill="1" applyBorder="1" applyAlignment="1" applyProtection="1">
      <alignment horizontal="center" vertical="center" shrinkToFit="1"/>
      <protection hidden="1"/>
    </xf>
    <xf numFmtId="176" fontId="3" fillId="0" borderId="46" xfId="75" applyNumberFormat="1" applyBorder="1" applyAlignment="1" applyProtection="1">
      <alignment vertical="center" shrinkToFit="1"/>
      <protection hidden="1" locked="0"/>
    </xf>
    <xf numFmtId="176" fontId="3" fillId="0" borderId="45" xfId="75" applyNumberFormat="1" applyBorder="1" applyAlignment="1" applyProtection="1">
      <alignment vertical="center" shrinkToFit="1"/>
      <protection hidden="1" locked="0"/>
    </xf>
    <xf numFmtId="176" fontId="3" fillId="0" borderId="88" xfId="75" applyNumberFormat="1" applyBorder="1" applyAlignment="1" applyProtection="1">
      <alignment vertical="center" shrinkToFit="1"/>
      <protection hidden="1" locked="0"/>
    </xf>
    <xf numFmtId="0" fontId="3" fillId="0" borderId="47" xfId="71" applyBorder="1" applyAlignment="1" applyProtection="1">
      <alignment vertical="center" shrinkToFit="1"/>
      <protection hidden="1" locked="0"/>
    </xf>
    <xf numFmtId="0" fontId="3" fillId="0" borderId="0" xfId="71" applyAlignment="1" applyProtection="1">
      <alignment vertical="center" shrinkToFit="1"/>
      <protection hidden="1" locked="0"/>
    </xf>
    <xf numFmtId="0" fontId="3" fillId="0" borderId="38" xfId="71" applyBorder="1" applyAlignment="1" applyProtection="1">
      <alignment vertical="center" shrinkToFit="1"/>
      <protection hidden="1" locked="0"/>
    </xf>
    <xf numFmtId="0" fontId="3" fillId="0" borderId="48" xfId="71" applyBorder="1" applyAlignment="1" applyProtection="1">
      <alignment vertical="center" shrinkToFit="1"/>
      <protection hidden="1" locked="0"/>
    </xf>
    <xf numFmtId="0" fontId="3" fillId="0" borderId="20" xfId="71" applyBorder="1" applyAlignment="1" applyProtection="1">
      <alignment vertical="center" shrinkToFit="1"/>
      <protection hidden="1" locked="0"/>
    </xf>
    <xf numFmtId="189" fontId="4" fillId="0" borderId="21" xfId="71" applyNumberFormat="1" applyFont="1" applyBorder="1" applyAlignment="1" applyProtection="1">
      <alignment horizontal="center" vertical="center"/>
      <protection hidden="1" locked="0"/>
    </xf>
    <xf numFmtId="189" fontId="4" fillId="0" borderId="2" xfId="71" applyNumberFormat="1" applyFont="1" applyBorder="1" applyAlignment="1" applyProtection="1">
      <alignment horizontal="center" vertical="center"/>
      <protection hidden="1" locked="0"/>
    </xf>
    <xf numFmtId="189" fontId="4" fillId="0" borderId="36" xfId="71" applyNumberFormat="1" applyFont="1" applyBorder="1" applyAlignment="1" applyProtection="1">
      <alignment horizontal="center" vertical="center"/>
      <protection hidden="1" locked="0"/>
    </xf>
    <xf numFmtId="196" fontId="0" fillId="0" borderId="0" xfId="75" applyNumberFormat="1" applyFont="1" applyAlignment="1" applyProtection="1">
      <alignment horizontal="center" vertical="center" shrinkToFit="1"/>
      <protection hidden="1" locked="0"/>
    </xf>
    <xf numFmtId="196" fontId="0" fillId="0" borderId="106" xfId="75" applyNumberFormat="1" applyFont="1" applyBorder="1" applyAlignment="1" applyProtection="1">
      <alignment horizontal="center" vertical="center" shrinkToFit="1"/>
      <protection hidden="1" locked="0"/>
    </xf>
    <xf numFmtId="190" fontId="3" fillId="40" borderId="40" xfId="71" applyNumberFormat="1" applyFill="1" applyBorder="1" applyAlignment="1" applyProtection="1">
      <alignment horizontal="center" vertical="center" shrinkToFit="1"/>
      <protection hidden="1"/>
    </xf>
    <xf numFmtId="190" fontId="3" fillId="40" borderId="45" xfId="71" applyNumberFormat="1" applyFill="1" applyBorder="1" applyAlignment="1" applyProtection="1">
      <alignment horizontal="center" vertical="center" shrinkToFit="1"/>
      <protection hidden="1"/>
    </xf>
    <xf numFmtId="190" fontId="3" fillId="40" borderId="88" xfId="71" applyNumberFormat="1" applyFill="1" applyBorder="1" applyAlignment="1" applyProtection="1">
      <alignment horizontal="center" vertical="center" shrinkToFit="1"/>
      <protection hidden="1"/>
    </xf>
    <xf numFmtId="190" fontId="3" fillId="40" borderId="35" xfId="71" applyNumberFormat="1" applyFill="1" applyBorder="1" applyAlignment="1" applyProtection="1">
      <alignment horizontal="center" vertical="center" shrinkToFit="1"/>
      <protection hidden="1"/>
    </xf>
    <xf numFmtId="190" fontId="3" fillId="40" borderId="39" xfId="71" applyNumberFormat="1" applyFill="1" applyBorder="1" applyAlignment="1" applyProtection="1">
      <alignment horizontal="center" vertical="center" shrinkToFit="1"/>
      <protection hidden="1"/>
    </xf>
    <xf numFmtId="190" fontId="3" fillId="40" borderId="20" xfId="71" applyNumberFormat="1" applyFill="1" applyBorder="1" applyAlignment="1" applyProtection="1">
      <alignment horizontal="center" vertical="center" shrinkToFit="1"/>
      <protection hidden="1"/>
    </xf>
    <xf numFmtId="196" fontId="0" fillId="0" borderId="39" xfId="75" applyNumberFormat="1" applyFont="1" applyBorder="1" applyAlignment="1" applyProtection="1">
      <alignment horizontal="center" vertical="center" shrinkToFit="1"/>
      <protection hidden="1" locked="0"/>
    </xf>
    <xf numFmtId="196" fontId="0" fillId="0" borderId="105" xfId="75" applyNumberFormat="1" applyFont="1" applyBorder="1" applyAlignment="1" applyProtection="1">
      <alignment horizontal="center" vertical="center" shrinkToFit="1"/>
      <protection hidden="1" locked="0"/>
    </xf>
    <xf numFmtId="0" fontId="3" fillId="0" borderId="15" xfId="71" applyBorder="1" applyAlignment="1" applyProtection="1">
      <alignment horizontal="center" vertical="center"/>
      <protection hidden="1"/>
    </xf>
    <xf numFmtId="0" fontId="3" fillId="0" borderId="34" xfId="71" applyBorder="1" applyAlignment="1" applyProtection="1">
      <alignment horizontal="center" vertical="center"/>
      <protection hidden="1"/>
    </xf>
    <xf numFmtId="0" fontId="3" fillId="0" borderId="33" xfId="71" applyBorder="1" applyAlignment="1" applyProtection="1">
      <alignment horizontal="center" vertical="center"/>
      <protection hidden="1"/>
    </xf>
    <xf numFmtId="179" fontId="0" fillId="0" borderId="40" xfId="75" applyNumberFormat="1" applyFont="1" applyBorder="1" applyAlignment="1" applyProtection="1">
      <alignment vertical="center" shrinkToFit="1"/>
      <protection hidden="1" locked="0"/>
    </xf>
    <xf numFmtId="0" fontId="3" fillId="0" borderId="104" xfId="71" applyBorder="1" applyAlignment="1" applyProtection="1">
      <alignment vertical="center" shrinkToFit="1"/>
      <protection hidden="1" locked="0"/>
    </xf>
    <xf numFmtId="0" fontId="3" fillId="0" borderId="37" xfId="71" applyBorder="1" applyAlignment="1" applyProtection="1">
      <alignment vertical="center" shrinkToFit="1"/>
      <protection hidden="1" locked="0"/>
    </xf>
    <xf numFmtId="0" fontId="3" fillId="0" borderId="106" xfId="71" applyBorder="1" applyAlignment="1" applyProtection="1">
      <alignment vertical="center" shrinkToFit="1"/>
      <protection hidden="1" locked="0"/>
    </xf>
    <xf numFmtId="0" fontId="3" fillId="0" borderId="35" xfId="71" applyBorder="1" applyAlignment="1" applyProtection="1">
      <alignment vertical="center" shrinkToFit="1"/>
      <protection hidden="1" locked="0"/>
    </xf>
    <xf numFmtId="0" fontId="3" fillId="0" borderId="105" xfId="71" applyBorder="1" applyAlignment="1" applyProtection="1">
      <alignment vertical="center" shrinkToFit="1"/>
      <protection hidden="1" locked="0"/>
    </xf>
    <xf numFmtId="49" fontId="3" fillId="0" borderId="46" xfId="75" applyNumberFormat="1" applyBorder="1" applyAlignment="1" applyProtection="1">
      <alignment vertical="center" shrinkToFit="1"/>
      <protection hidden="1" locked="0"/>
    </xf>
    <xf numFmtId="196" fontId="0" fillId="0" borderId="45" xfId="75" applyNumberFormat="1" applyFont="1" applyBorder="1" applyAlignment="1" applyProtection="1">
      <alignment horizontal="center" vertical="center" shrinkToFit="1"/>
      <protection hidden="1" locked="0"/>
    </xf>
    <xf numFmtId="196" fontId="0" fillId="0" borderId="104" xfId="75" applyNumberFormat="1" applyFont="1" applyBorder="1" applyAlignment="1" applyProtection="1">
      <alignment horizontal="center" vertical="center" shrinkToFit="1"/>
      <protection hidden="1" locked="0"/>
    </xf>
    <xf numFmtId="0" fontId="3" fillId="0" borderId="2" xfId="71" applyBorder="1" applyAlignment="1" applyProtection="1">
      <alignment vertical="center" shrinkToFit="1"/>
      <protection hidden="1"/>
    </xf>
    <xf numFmtId="0" fontId="3" fillId="0" borderId="102" xfId="71" applyBorder="1" applyAlignment="1" applyProtection="1">
      <alignment vertical="center" shrinkToFit="1"/>
      <protection hidden="1"/>
    </xf>
    <xf numFmtId="0" fontId="3" fillId="0" borderId="102" xfId="71" applyBorder="1" applyAlignment="1" applyProtection="1">
      <alignment horizontal="center" vertical="center" shrinkToFit="1"/>
      <protection hidden="1"/>
    </xf>
    <xf numFmtId="0" fontId="3" fillId="0" borderId="36" xfId="71" applyBorder="1" applyAlignment="1" applyProtection="1">
      <alignment vertical="center" shrinkToFit="1"/>
      <protection hidden="1"/>
    </xf>
    <xf numFmtId="0" fontId="3" fillId="0" borderId="36" xfId="71" applyBorder="1" applyProtection="1">
      <alignment vertical="center"/>
      <protection hidden="1"/>
    </xf>
    <xf numFmtId="179" fontId="0" fillId="0" borderId="107" xfId="75" applyNumberFormat="1" applyFont="1" applyBorder="1" applyAlignment="1" applyProtection="1">
      <alignment vertical="center" shrinkToFit="1"/>
      <protection hidden="1" locked="0"/>
    </xf>
    <xf numFmtId="0" fontId="3" fillId="0" borderId="108" xfId="71" applyBorder="1" applyAlignment="1" applyProtection="1">
      <alignment vertical="center" shrinkToFit="1"/>
      <protection hidden="1" locked="0"/>
    </xf>
    <xf numFmtId="0" fontId="3" fillId="0" borderId="109" xfId="71" applyBorder="1" applyAlignment="1" applyProtection="1">
      <alignment vertical="center" shrinkToFit="1"/>
      <protection hidden="1" locked="0"/>
    </xf>
    <xf numFmtId="49" fontId="0" fillId="0" borderId="110" xfId="75" applyNumberFormat="1" applyFont="1" applyBorder="1" applyAlignment="1" applyProtection="1">
      <alignment vertical="center" shrinkToFit="1"/>
      <protection hidden="1" locked="0"/>
    </xf>
    <xf numFmtId="49" fontId="3" fillId="0" borderId="110" xfId="75" applyNumberFormat="1" applyBorder="1" applyAlignment="1" applyProtection="1">
      <alignment vertical="center" shrinkToFit="1"/>
      <protection hidden="1" locked="0"/>
    </xf>
    <xf numFmtId="196" fontId="3" fillId="0" borderId="110" xfId="75" applyNumberFormat="1" applyBorder="1" applyAlignment="1" applyProtection="1">
      <alignment horizontal="right" vertical="center" shrinkToFit="1"/>
      <protection hidden="1" locked="0"/>
    </xf>
    <xf numFmtId="196" fontId="3" fillId="0" borderId="108" xfId="75" applyNumberFormat="1" applyBorder="1" applyAlignment="1" applyProtection="1">
      <alignment horizontal="right" vertical="center" shrinkToFit="1"/>
      <protection hidden="1" locked="0"/>
    </xf>
    <xf numFmtId="196" fontId="3" fillId="0" borderId="108" xfId="71" applyNumberFormat="1" applyBorder="1" applyAlignment="1" applyProtection="1">
      <alignment horizontal="right" vertical="center" shrinkToFit="1"/>
      <protection hidden="1" locked="0"/>
    </xf>
    <xf numFmtId="196" fontId="3" fillId="0" borderId="109" xfId="71" applyNumberFormat="1" applyBorder="1" applyAlignment="1" applyProtection="1">
      <alignment horizontal="right" vertical="center" shrinkToFit="1"/>
      <protection hidden="1" locked="0"/>
    </xf>
    <xf numFmtId="176" fontId="3" fillId="0" borderId="111" xfId="75" applyNumberFormat="1" applyBorder="1" applyAlignment="1" applyProtection="1">
      <alignment vertical="center" shrinkToFit="1"/>
      <protection hidden="1" locked="0"/>
    </xf>
    <xf numFmtId="176" fontId="3" fillId="0" borderId="112" xfId="75" applyNumberFormat="1" applyBorder="1" applyAlignment="1" applyProtection="1">
      <alignment vertical="center" shrinkToFit="1"/>
      <protection hidden="1" locked="0"/>
    </xf>
    <xf numFmtId="179" fontId="0" fillId="0" borderId="35" xfId="75" applyNumberFormat="1" applyFont="1" applyBorder="1" applyAlignment="1" applyProtection="1">
      <alignment vertical="center" shrinkToFit="1"/>
      <protection hidden="1" locked="0"/>
    </xf>
    <xf numFmtId="196" fontId="0" fillId="0" borderId="48" xfId="75" applyNumberFormat="1" applyFont="1" applyBorder="1" applyAlignment="1" applyProtection="1">
      <alignment horizontal="center" vertical="center" shrinkToFit="1"/>
      <protection hidden="1" locked="0"/>
    </xf>
    <xf numFmtId="196" fontId="3" fillId="0" borderId="39" xfId="71" applyNumberFormat="1" applyBorder="1" applyAlignment="1" applyProtection="1">
      <alignment horizontal="center" vertical="center" shrinkToFit="1"/>
      <protection hidden="1" locked="0"/>
    </xf>
    <xf numFmtId="196" fontId="3" fillId="0" borderId="105" xfId="71" applyNumberFormat="1" applyBorder="1" applyAlignment="1" applyProtection="1">
      <alignment horizontal="center" vertical="center" shrinkToFit="1"/>
      <protection hidden="1" locked="0"/>
    </xf>
    <xf numFmtId="196" fontId="3" fillId="0" borderId="110" xfId="75" applyNumberFormat="1" applyBorder="1" applyAlignment="1" applyProtection="1">
      <alignment horizontal="center" vertical="center" shrinkToFit="1"/>
      <protection hidden="1" locked="0"/>
    </xf>
    <xf numFmtId="196" fontId="3" fillId="0" borderId="108" xfId="75" applyNumberFormat="1" applyBorder="1" applyAlignment="1" applyProtection="1">
      <alignment horizontal="center" vertical="center" shrinkToFit="1"/>
      <protection hidden="1" locked="0"/>
    </xf>
    <xf numFmtId="196" fontId="3" fillId="0" borderId="108" xfId="71" applyNumberFormat="1" applyBorder="1" applyAlignment="1" applyProtection="1">
      <alignment horizontal="center" vertical="center" shrinkToFit="1"/>
      <protection hidden="1" locked="0"/>
    </xf>
    <xf numFmtId="196" fontId="3" fillId="0" borderId="109" xfId="71" applyNumberFormat="1" applyBorder="1" applyAlignment="1" applyProtection="1">
      <alignment horizontal="center" vertical="center" shrinkToFit="1"/>
      <protection hidden="1" locked="0"/>
    </xf>
    <xf numFmtId="0" fontId="3" fillId="0" borderId="0" xfId="71" applyAlignment="1" applyProtection="1">
      <alignment horizontal="left" vertical="center"/>
      <protection hidden="1"/>
    </xf>
    <xf numFmtId="49" fontId="3" fillId="40" borderId="103" xfId="75" applyNumberFormat="1" applyFill="1" applyBorder="1" applyAlignment="1" applyProtection="1">
      <alignment horizontal="center" vertical="center"/>
      <protection hidden="1"/>
    </xf>
    <xf numFmtId="0" fontId="3" fillId="0" borderId="2" xfId="71" applyBorder="1" applyAlignment="1" applyProtection="1">
      <alignment horizontal="center" vertical="center"/>
      <protection hidden="1"/>
    </xf>
    <xf numFmtId="0" fontId="3" fillId="0" borderId="102" xfId="71" applyBorder="1" applyAlignment="1" applyProtection="1">
      <alignment horizontal="center" vertical="center"/>
      <protection hidden="1"/>
    </xf>
    <xf numFmtId="0" fontId="7" fillId="42" borderId="87" xfId="71" applyFont="1" applyFill="1" applyBorder="1" applyAlignment="1">
      <alignment horizontal="center" vertical="center" wrapText="1"/>
      <protection/>
    </xf>
    <xf numFmtId="0" fontId="7" fillId="42" borderId="43" xfId="71" applyFont="1" applyFill="1" applyBorder="1" applyAlignment="1">
      <alignment horizontal="center" vertical="center" wrapText="1"/>
      <protection/>
    </xf>
    <xf numFmtId="0" fontId="3" fillId="0" borderId="43" xfId="71" applyBorder="1" applyAlignment="1">
      <alignment horizontal="center" vertical="center"/>
      <protection/>
    </xf>
    <xf numFmtId="0" fontId="3" fillId="0" borderId="22" xfId="71" applyBorder="1" applyAlignment="1">
      <alignment horizontal="center" vertical="center"/>
      <protection/>
    </xf>
    <xf numFmtId="0" fontId="3" fillId="0" borderId="12" xfId="71" applyBorder="1" applyAlignment="1">
      <alignment horizontal="center" vertical="center"/>
      <protection/>
    </xf>
    <xf numFmtId="0" fontId="3" fillId="0" borderId="32" xfId="71" applyBorder="1" applyAlignment="1">
      <alignment horizontal="center" vertical="center"/>
      <protection/>
    </xf>
    <xf numFmtId="0" fontId="157" fillId="0" borderId="21" xfId="71" applyFont="1" applyBorder="1" applyAlignment="1">
      <alignment horizontal="center" vertical="center"/>
      <protection/>
    </xf>
    <xf numFmtId="0" fontId="157" fillId="0" borderId="42" xfId="71" applyFont="1" applyBorder="1" applyAlignment="1">
      <alignment horizontal="center" vertical="center"/>
      <protection/>
    </xf>
    <xf numFmtId="0" fontId="3" fillId="0" borderId="40" xfId="71" applyBorder="1" applyAlignment="1">
      <alignment horizontal="center" vertical="center"/>
      <protection/>
    </xf>
    <xf numFmtId="0" fontId="3" fillId="0" borderId="44" xfId="71" applyBorder="1" applyAlignment="1">
      <alignment horizontal="center" vertical="center"/>
      <protection/>
    </xf>
    <xf numFmtId="0" fontId="158" fillId="42" borderId="15" xfId="71" applyFont="1" applyFill="1" applyBorder="1" applyAlignment="1">
      <alignment horizontal="center" vertical="center" wrapText="1"/>
      <protection/>
    </xf>
    <xf numFmtId="0" fontId="158" fillId="42" borderId="34" xfId="71" applyFont="1" applyFill="1" applyBorder="1" applyAlignment="1">
      <alignment horizontal="center" vertical="center"/>
      <protection/>
    </xf>
    <xf numFmtId="0" fontId="158" fillId="42" borderId="33" xfId="71" applyFont="1" applyFill="1" applyBorder="1" applyAlignment="1">
      <alignment horizontal="center" vertical="center"/>
      <protection/>
    </xf>
    <xf numFmtId="0" fontId="15" fillId="43" borderId="53" xfId="71" applyFont="1" applyFill="1" applyBorder="1" applyAlignment="1">
      <alignment horizontal="center" vertical="center"/>
      <protection/>
    </xf>
    <xf numFmtId="0" fontId="15" fillId="43" borderId="79" xfId="71" applyFont="1" applyFill="1" applyBorder="1" applyAlignment="1">
      <alignment horizontal="center" vertical="center"/>
      <protection/>
    </xf>
    <xf numFmtId="0" fontId="15" fillId="43" borderId="54" xfId="71" applyFont="1" applyFill="1" applyBorder="1" applyAlignment="1">
      <alignment horizontal="center" vertical="center"/>
      <protection/>
    </xf>
    <xf numFmtId="31" fontId="19" fillId="0" borderId="12" xfId="71" applyNumberFormat="1" applyFont="1" applyBorder="1" applyAlignment="1">
      <alignment horizontal="center" vertical="center"/>
      <protection/>
    </xf>
    <xf numFmtId="31" fontId="19" fillId="0" borderId="19" xfId="71" applyNumberFormat="1" applyFont="1" applyBorder="1" applyAlignment="1">
      <alignment horizontal="center" vertical="center"/>
      <protection/>
    </xf>
    <xf numFmtId="31" fontId="19" fillId="0" borderId="32" xfId="71" applyNumberFormat="1" applyFont="1" applyBorder="1" applyAlignment="1">
      <alignment horizontal="center" vertical="center"/>
      <protection/>
    </xf>
    <xf numFmtId="31" fontId="19" fillId="0" borderId="49" xfId="71" applyNumberFormat="1" applyFont="1" applyBorder="1" applyAlignment="1">
      <alignment horizontal="center" vertical="center"/>
      <protection/>
    </xf>
    <xf numFmtId="213" fontId="3" fillId="0" borderId="21" xfId="71" applyNumberFormat="1" applyBorder="1" applyAlignment="1">
      <alignment horizontal="center" vertical="center"/>
      <protection/>
    </xf>
    <xf numFmtId="213" fontId="3" fillId="0" borderId="2" xfId="71" applyNumberFormat="1" applyBorder="1" applyAlignment="1">
      <alignment horizontal="center" vertical="center"/>
      <protection/>
    </xf>
    <xf numFmtId="213" fontId="3" fillId="0" borderId="42" xfId="71" applyNumberFormat="1" applyBorder="1" applyAlignment="1">
      <alignment horizontal="center" vertical="center"/>
      <protection/>
    </xf>
    <xf numFmtId="199" fontId="3" fillId="0" borderId="21" xfId="71" applyNumberFormat="1" applyBorder="1" applyAlignment="1">
      <alignment horizontal="distributed" vertical="center"/>
      <protection/>
    </xf>
    <xf numFmtId="199" fontId="3" fillId="0" borderId="2" xfId="71" applyNumberFormat="1" applyBorder="1" applyAlignment="1">
      <alignment horizontal="distributed" vertical="center"/>
      <protection/>
    </xf>
    <xf numFmtId="199" fontId="3" fillId="0" borderId="42" xfId="71" applyNumberFormat="1" applyBorder="1" applyAlignment="1">
      <alignment horizontal="distributed" vertical="center"/>
      <protection/>
    </xf>
    <xf numFmtId="0" fontId="7" fillId="42" borderId="40" xfId="71" applyFont="1" applyFill="1" applyBorder="1" applyAlignment="1">
      <alignment horizontal="center" vertical="center" wrapText="1"/>
      <protection/>
    </xf>
    <xf numFmtId="0" fontId="7" fillId="39" borderId="80" xfId="71" applyFont="1" applyFill="1" applyBorder="1" applyAlignment="1">
      <alignment horizontal="center" vertical="center"/>
      <protection/>
    </xf>
    <xf numFmtId="0" fontId="7" fillId="39" borderId="15" xfId="71" applyFont="1" applyFill="1" applyBorder="1" applyAlignment="1">
      <alignment horizontal="center" vertical="center"/>
      <protection/>
    </xf>
    <xf numFmtId="0" fontId="7" fillId="0" borderId="40" xfId="71" applyFont="1" applyBorder="1" applyAlignment="1">
      <alignment horizontal="left" vertical="center"/>
      <protection/>
    </xf>
    <xf numFmtId="0" fontId="7" fillId="0" borderId="45" xfId="71" applyFont="1" applyBorder="1" applyAlignment="1">
      <alignment horizontal="left" vertical="center"/>
      <protection/>
    </xf>
    <xf numFmtId="0" fontId="7" fillId="0" borderId="44" xfId="71" applyFont="1" applyBorder="1" applyAlignment="1">
      <alignment horizontal="left" vertical="center"/>
      <protection/>
    </xf>
    <xf numFmtId="0" fontId="7" fillId="40" borderId="80" xfId="71" applyFont="1" applyFill="1" applyBorder="1" applyAlignment="1">
      <alignment horizontal="center" vertical="center"/>
      <protection/>
    </xf>
    <xf numFmtId="0" fontId="7" fillId="40" borderId="15" xfId="71" applyFont="1" applyFill="1" applyBorder="1" applyAlignment="1">
      <alignment horizontal="center" vertical="center"/>
      <protection/>
    </xf>
    <xf numFmtId="200" fontId="7" fillId="0" borderId="21" xfId="71" applyNumberFormat="1" applyFont="1" applyBorder="1" applyAlignment="1">
      <alignment horizontal="center" vertical="center"/>
      <protection/>
    </xf>
    <xf numFmtId="200" fontId="7" fillId="0" borderId="2" xfId="71" applyNumberFormat="1" applyFont="1" applyBorder="1" applyAlignment="1">
      <alignment horizontal="center" vertical="center"/>
      <protection/>
    </xf>
    <xf numFmtId="200" fontId="7" fillId="0" borderId="42" xfId="71" applyNumberFormat="1" applyFont="1" applyBorder="1" applyAlignment="1">
      <alignment horizontal="center" vertical="center"/>
      <protection/>
    </xf>
    <xf numFmtId="0" fontId="3" fillId="0" borderId="40" xfId="71" applyBorder="1" applyAlignment="1">
      <alignment horizontal="left" vertical="top"/>
      <protection/>
    </xf>
    <xf numFmtId="0" fontId="3" fillId="0" borderId="45" xfId="71" applyBorder="1" applyAlignment="1">
      <alignment horizontal="left" vertical="top"/>
      <protection/>
    </xf>
    <xf numFmtId="0" fontId="3" fillId="0" borderId="88" xfId="71" applyBorder="1" applyAlignment="1">
      <alignment horizontal="left" vertical="top"/>
      <protection/>
    </xf>
    <xf numFmtId="0" fontId="3" fillId="0" borderId="35" xfId="71" applyBorder="1" applyAlignment="1">
      <alignment horizontal="left" vertical="top"/>
      <protection/>
    </xf>
    <xf numFmtId="0" fontId="3" fillId="0" borderId="39" xfId="71" applyBorder="1" applyAlignment="1">
      <alignment horizontal="left" vertical="top"/>
      <protection/>
    </xf>
    <xf numFmtId="0" fontId="3" fillId="0" borderId="20" xfId="71" applyBorder="1" applyAlignment="1">
      <alignment horizontal="left" vertical="top"/>
      <protection/>
    </xf>
    <xf numFmtId="0" fontId="159" fillId="0" borderId="12" xfId="70" applyFont="1" applyBorder="1" applyAlignment="1">
      <alignment horizontal="center" vertical="center"/>
      <protection/>
    </xf>
    <xf numFmtId="0" fontId="122" fillId="0" borderId="15" xfId="70" applyFont="1" applyBorder="1" applyAlignment="1">
      <alignment horizontal="center" vertical="center"/>
      <protection/>
    </xf>
    <xf numFmtId="0" fontId="122" fillId="0" borderId="33" xfId="70" applyFont="1" applyBorder="1" applyAlignment="1">
      <alignment horizontal="center" vertical="center"/>
      <protection/>
    </xf>
    <xf numFmtId="0" fontId="123" fillId="0" borderId="15" xfId="70" applyFont="1" applyBorder="1" applyAlignment="1">
      <alignment horizontal="center" vertical="center"/>
      <protection/>
    </xf>
    <xf numFmtId="0" fontId="123" fillId="0" borderId="33" xfId="70" applyFont="1" applyBorder="1" applyAlignment="1">
      <alignment horizontal="center" vertical="center"/>
      <protection/>
    </xf>
    <xf numFmtId="0" fontId="114" fillId="0" borderId="15" xfId="70" applyFont="1" applyBorder="1">
      <alignment vertical="center"/>
      <protection/>
    </xf>
    <xf numFmtId="0" fontId="114" fillId="0" borderId="33" xfId="70" applyFont="1" applyBorder="1">
      <alignment vertical="center"/>
      <protection/>
    </xf>
    <xf numFmtId="0" fontId="122" fillId="0" borderId="12" xfId="70" applyFont="1" applyBorder="1" applyAlignment="1">
      <alignment horizontal="center" vertical="center"/>
      <protection/>
    </xf>
    <xf numFmtId="0" fontId="123" fillId="0" borderId="12" xfId="70" applyFont="1" applyBorder="1" applyAlignment="1">
      <alignment horizontal="center" vertical="center"/>
      <protection/>
    </xf>
    <xf numFmtId="0" fontId="114" fillId="0" borderId="12" xfId="70" applyFont="1" applyBorder="1">
      <alignment vertical="center"/>
      <protection/>
    </xf>
    <xf numFmtId="0" fontId="114" fillId="0" borderId="12" xfId="70" applyFont="1" applyBorder="1" applyAlignment="1">
      <alignment vertical="center" wrapText="1"/>
      <protection/>
    </xf>
    <xf numFmtId="0" fontId="123" fillId="0" borderId="12" xfId="70" applyFont="1" applyBorder="1" applyAlignment="1">
      <alignment horizontal="center" vertical="center" wrapText="1"/>
      <protection/>
    </xf>
    <xf numFmtId="0" fontId="148" fillId="0" borderId="60" xfId="0" applyFont="1" applyBorder="1" applyAlignment="1">
      <alignment horizontal="center" vertical="center"/>
    </xf>
    <xf numFmtId="0" fontId="148" fillId="0" borderId="82" xfId="0" applyFont="1" applyBorder="1" applyAlignment="1">
      <alignment horizontal="center" vertical="center"/>
    </xf>
    <xf numFmtId="0" fontId="148" fillId="0" borderId="83" xfId="0" applyFont="1" applyBorder="1" applyAlignment="1">
      <alignment horizontal="center" vertical="center"/>
    </xf>
    <xf numFmtId="0" fontId="148" fillId="0" borderId="61" xfId="0" applyFont="1" applyBorder="1" applyAlignment="1">
      <alignment horizontal="center" vertical="center"/>
    </xf>
    <xf numFmtId="0" fontId="148" fillId="0" borderId="0" xfId="0" applyFont="1" applyBorder="1" applyAlignment="1">
      <alignment horizontal="center" vertical="center"/>
    </xf>
    <xf numFmtId="0" fontId="148" fillId="0" borderId="85" xfId="0" applyFont="1" applyBorder="1" applyAlignment="1">
      <alignment horizontal="center" vertical="center"/>
    </xf>
    <xf numFmtId="0" fontId="148" fillId="0" borderId="65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148" fillId="0" borderId="86" xfId="0" applyFont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36" fillId="28" borderId="12" xfId="0" applyFont="1" applyFill="1" applyBorder="1" applyAlignment="1">
      <alignment horizontal="center" vertical="center"/>
    </xf>
    <xf numFmtId="176" fontId="160" fillId="0" borderId="12" xfId="0" applyNumberFormat="1" applyFont="1" applyBorder="1" applyAlignment="1">
      <alignment horizontal="center" vertical="center"/>
    </xf>
    <xf numFmtId="0" fontId="161" fillId="28" borderId="68" xfId="0" applyFont="1" applyFill="1" applyBorder="1" applyAlignment="1">
      <alignment horizontal="center" vertical="center"/>
    </xf>
    <xf numFmtId="0" fontId="161" fillId="28" borderId="17" xfId="0" applyFont="1" applyFill="1" applyBorder="1" applyAlignment="1">
      <alignment horizontal="center" vertical="center"/>
    </xf>
    <xf numFmtId="0" fontId="161" fillId="28" borderId="50" xfId="0" applyFont="1" applyFill="1" applyBorder="1" applyAlignment="1">
      <alignment horizontal="center" vertical="center"/>
    </xf>
    <xf numFmtId="0" fontId="161" fillId="28" borderId="32" xfId="0" applyFont="1" applyFill="1" applyBorder="1" applyAlignment="1">
      <alignment horizontal="center" vertical="center"/>
    </xf>
    <xf numFmtId="176" fontId="162" fillId="0" borderId="17" xfId="0" applyNumberFormat="1" applyFont="1" applyBorder="1" applyAlignment="1">
      <alignment horizontal="center" vertical="center"/>
    </xf>
    <xf numFmtId="176" fontId="162" fillId="0" borderId="24" xfId="0" applyNumberFormat="1" applyFont="1" applyBorder="1" applyAlignment="1">
      <alignment horizontal="center" vertical="center"/>
    </xf>
    <xf numFmtId="176" fontId="162" fillId="0" borderId="32" xfId="0" applyNumberFormat="1" applyFont="1" applyBorder="1" applyAlignment="1">
      <alignment horizontal="center" vertical="center"/>
    </xf>
    <xf numFmtId="176" fontId="162" fillId="0" borderId="49" xfId="0" applyNumberFormat="1" applyFont="1" applyBorder="1" applyAlignment="1">
      <alignment horizontal="center" vertical="center"/>
    </xf>
    <xf numFmtId="179" fontId="3" fillId="0" borderId="58" xfId="75" applyNumberFormat="1" applyBorder="1" applyAlignment="1" applyProtection="1">
      <alignment horizontal="right" vertical="center" shrinkToFit="1"/>
      <protection hidden="1"/>
    </xf>
    <xf numFmtId="179" fontId="3" fillId="0" borderId="1" xfId="71" applyNumberFormat="1" applyBorder="1" applyAlignment="1" applyProtection="1">
      <alignment horizontal="right" vertical="center" shrinkToFit="1"/>
      <protection hidden="1"/>
    </xf>
    <xf numFmtId="179" fontId="3" fillId="0" borderId="59" xfId="71" applyNumberFormat="1" applyBorder="1" applyAlignment="1" applyProtection="1">
      <alignment horizontal="right" vertical="center" shrinkToFit="1"/>
      <protection hidden="1"/>
    </xf>
    <xf numFmtId="185" fontId="115" fillId="0" borderId="21" xfId="0" applyNumberFormat="1" applyFont="1" applyBorder="1" applyAlignment="1">
      <alignment horizontal="left" vertical="center"/>
    </xf>
    <xf numFmtId="185" fontId="115" fillId="0" borderId="36" xfId="0" applyNumberFormat="1" applyFont="1" applyBorder="1" applyAlignment="1">
      <alignment horizontal="left" vertical="center"/>
    </xf>
    <xf numFmtId="185" fontId="115" fillId="17" borderId="21" xfId="0" applyNumberFormat="1" applyFont="1" applyFill="1" applyBorder="1" applyAlignment="1">
      <alignment horizontal="left" vertical="center"/>
    </xf>
    <xf numFmtId="185" fontId="115" fillId="17" borderId="36" xfId="0" applyNumberFormat="1" applyFont="1" applyFill="1" applyBorder="1" applyAlignment="1">
      <alignment horizontal="left" vertical="center"/>
    </xf>
    <xf numFmtId="0" fontId="134" fillId="0" borderId="0" xfId="0" applyFont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3" xfId="72"/>
    <cellStyle name="標準 4" xfId="73"/>
    <cellStyle name="標準 5" xfId="74"/>
    <cellStyle name="標準_財産目録見本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M37"/>
  <sheetViews>
    <sheetView tabSelected="1" workbookViewId="0" topLeftCell="A1">
      <selection activeCell="D3" sqref="D3:E3"/>
    </sheetView>
  </sheetViews>
  <sheetFormatPr defaultColWidth="9.140625" defaultRowHeight="15"/>
  <cols>
    <col min="1" max="1" width="2.421875" style="293" bestFit="1" customWidth="1"/>
    <col min="2" max="2" width="3.421875" style="293" bestFit="1" customWidth="1"/>
    <col min="3" max="3" width="9.00390625" style="293" customWidth="1"/>
    <col min="4" max="4" width="3.57421875" style="293" customWidth="1"/>
    <col min="5" max="5" width="12.57421875" style="293" customWidth="1"/>
    <col min="6" max="6" width="15.57421875" style="293" customWidth="1"/>
    <col min="7" max="7" width="3.421875" style="293" bestFit="1" customWidth="1"/>
    <col min="8" max="8" width="9.00390625" style="293" customWidth="1"/>
    <col min="9" max="10" width="8.140625" style="293" customWidth="1"/>
    <col min="11" max="11" width="3.57421875" style="293" customWidth="1"/>
    <col min="12" max="12" width="9.57421875" style="293" customWidth="1"/>
    <col min="13" max="13" width="3.57421875" style="293" customWidth="1"/>
    <col min="14" max="14" width="2.421875" style="293" bestFit="1" customWidth="1"/>
    <col min="15" max="16384" width="9.00390625" style="293" customWidth="1"/>
  </cols>
  <sheetData>
    <row r="1" spans="2:13" ht="19.5" customHeight="1" thickBot="1">
      <c r="B1" s="316" t="s">
        <v>458</v>
      </c>
      <c r="C1" s="316"/>
      <c r="D1" s="316"/>
      <c r="E1" s="316"/>
      <c r="F1" s="316"/>
      <c r="G1" s="316"/>
      <c r="H1" s="316"/>
      <c r="I1" s="317" t="s">
        <v>459</v>
      </c>
      <c r="J1" s="317"/>
      <c r="K1" s="317"/>
      <c r="L1" s="317"/>
      <c r="M1" s="317"/>
    </row>
    <row r="2" spans="2:13" ht="19.5" customHeight="1" thickBot="1">
      <c r="B2" s="318" t="s">
        <v>460</v>
      </c>
      <c r="C2" s="319"/>
      <c r="D2" s="319"/>
      <c r="E2" s="319"/>
      <c r="F2" s="320"/>
      <c r="G2" s="321" t="s">
        <v>461</v>
      </c>
      <c r="H2" s="322"/>
      <c r="I2" s="322"/>
      <c r="J2" s="322"/>
      <c r="K2" s="322"/>
      <c r="L2" s="322"/>
      <c r="M2" s="323"/>
    </row>
    <row r="3" spans="2:13" ht="19.5" customHeight="1">
      <c r="B3" s="324" t="s">
        <v>115</v>
      </c>
      <c r="C3" s="325"/>
      <c r="D3" s="326"/>
      <c r="E3" s="327"/>
      <c r="F3" s="294"/>
      <c r="G3" s="328" t="s">
        <v>115</v>
      </c>
      <c r="H3" s="329"/>
      <c r="I3" s="326"/>
      <c r="J3" s="327"/>
      <c r="K3" s="326"/>
      <c r="L3" s="330"/>
      <c r="M3" s="331"/>
    </row>
    <row r="4" spans="2:13" ht="19.5" customHeight="1">
      <c r="B4" s="332" t="s">
        <v>116</v>
      </c>
      <c r="C4" s="333"/>
      <c r="D4" s="334"/>
      <c r="E4" s="335"/>
      <c r="F4" s="295"/>
      <c r="G4" s="336" t="s">
        <v>116</v>
      </c>
      <c r="H4" s="337"/>
      <c r="I4" s="334"/>
      <c r="J4" s="335"/>
      <c r="K4" s="334"/>
      <c r="L4" s="338"/>
      <c r="M4" s="339"/>
    </row>
    <row r="5" spans="2:13" ht="19.5" customHeight="1">
      <c r="B5" s="340" t="s">
        <v>117</v>
      </c>
      <c r="C5" s="296" t="s">
        <v>118</v>
      </c>
      <c r="D5" s="341"/>
      <c r="E5" s="342"/>
      <c r="F5" s="343"/>
      <c r="G5" s="344" t="s">
        <v>117</v>
      </c>
      <c r="H5" s="297" t="s">
        <v>118</v>
      </c>
      <c r="I5" s="341"/>
      <c r="J5" s="342"/>
      <c r="K5" s="342"/>
      <c r="L5" s="342"/>
      <c r="M5" s="343"/>
    </row>
    <row r="6" spans="2:13" ht="19.5" customHeight="1">
      <c r="B6" s="332"/>
      <c r="C6" s="296" t="s">
        <v>119</v>
      </c>
      <c r="D6" s="345"/>
      <c r="E6" s="346"/>
      <c r="F6" s="347"/>
      <c r="G6" s="336"/>
      <c r="H6" s="297" t="s">
        <v>119</v>
      </c>
      <c r="I6" s="345"/>
      <c r="J6" s="346"/>
      <c r="K6" s="346"/>
      <c r="L6" s="346"/>
      <c r="M6" s="347"/>
    </row>
    <row r="7" spans="2:13" ht="19.5" customHeight="1">
      <c r="B7" s="332"/>
      <c r="C7" s="296" t="s">
        <v>120</v>
      </c>
      <c r="D7" s="345"/>
      <c r="E7" s="346"/>
      <c r="F7" s="347"/>
      <c r="G7" s="336"/>
      <c r="H7" s="297" t="s">
        <v>120</v>
      </c>
      <c r="I7" s="345"/>
      <c r="J7" s="346"/>
      <c r="K7" s="346"/>
      <c r="L7" s="346"/>
      <c r="M7" s="347"/>
    </row>
    <row r="8" spans="2:13" ht="19.5" customHeight="1">
      <c r="B8" s="332" t="s">
        <v>121</v>
      </c>
      <c r="C8" s="333"/>
      <c r="D8" s="345"/>
      <c r="E8" s="346"/>
      <c r="F8" s="347"/>
      <c r="G8" s="336" t="s">
        <v>121</v>
      </c>
      <c r="H8" s="337"/>
      <c r="I8" s="345"/>
      <c r="J8" s="346"/>
      <c r="K8" s="346"/>
      <c r="L8" s="346"/>
      <c r="M8" s="347"/>
    </row>
    <row r="9" spans="2:13" ht="19.5" customHeight="1">
      <c r="B9" s="332" t="s">
        <v>122</v>
      </c>
      <c r="C9" s="333"/>
      <c r="D9" s="348"/>
      <c r="E9" s="349"/>
      <c r="F9" s="350"/>
      <c r="G9" s="336" t="s">
        <v>122</v>
      </c>
      <c r="H9" s="337"/>
      <c r="I9" s="348"/>
      <c r="J9" s="349"/>
      <c r="K9" s="349"/>
      <c r="L9" s="349"/>
      <c r="M9" s="350"/>
    </row>
    <row r="10" spans="2:13" ht="19.5" customHeight="1">
      <c r="B10" s="332" t="s">
        <v>123</v>
      </c>
      <c r="C10" s="333"/>
      <c r="D10" s="345"/>
      <c r="E10" s="346"/>
      <c r="F10" s="347"/>
      <c r="G10" s="336" t="s">
        <v>123</v>
      </c>
      <c r="H10" s="337"/>
      <c r="I10" s="345"/>
      <c r="J10" s="346"/>
      <c r="K10" s="346"/>
      <c r="L10" s="346"/>
      <c r="M10" s="347"/>
    </row>
    <row r="11" spans="2:13" ht="19.5" customHeight="1">
      <c r="B11" s="351" t="s">
        <v>124</v>
      </c>
      <c r="C11" s="352"/>
      <c r="D11" s="345"/>
      <c r="E11" s="346"/>
      <c r="F11" s="347"/>
      <c r="G11" s="336" t="s">
        <v>124</v>
      </c>
      <c r="H11" s="337"/>
      <c r="I11" s="345"/>
      <c r="J11" s="346"/>
      <c r="K11" s="346"/>
      <c r="L11" s="346"/>
      <c r="M11" s="347"/>
    </row>
    <row r="12" spans="2:13" ht="19.5" customHeight="1" thickBot="1">
      <c r="B12" s="351" t="s">
        <v>125</v>
      </c>
      <c r="C12" s="352"/>
      <c r="D12" s="345"/>
      <c r="E12" s="346"/>
      <c r="F12" s="347"/>
      <c r="G12" s="336" t="s">
        <v>166</v>
      </c>
      <c r="H12" s="337"/>
      <c r="I12" s="345"/>
      <c r="J12" s="346"/>
      <c r="K12" s="346"/>
      <c r="L12" s="346"/>
      <c r="M12" s="347"/>
    </row>
    <row r="13" spans="2:13" ht="19.5" customHeight="1">
      <c r="B13" s="353" t="s">
        <v>462</v>
      </c>
      <c r="C13" s="354"/>
      <c r="D13" s="354"/>
      <c r="E13" s="354"/>
      <c r="F13" s="354"/>
      <c r="G13" s="354"/>
      <c r="H13" s="354"/>
      <c r="I13" s="354"/>
      <c r="J13" s="355" t="s">
        <v>516</v>
      </c>
      <c r="K13" s="356"/>
      <c r="L13" s="356"/>
      <c r="M13" s="357"/>
    </row>
    <row r="14" spans="2:13" ht="19.5" customHeight="1">
      <c r="B14" s="358" t="s">
        <v>463</v>
      </c>
      <c r="C14" s="359"/>
      <c r="D14" s="360"/>
      <c r="E14" s="361"/>
      <c r="F14" s="299" t="s">
        <v>464</v>
      </c>
      <c r="G14" s="362"/>
      <c r="H14" s="363"/>
      <c r="I14" s="364"/>
      <c r="J14" s="365" t="s">
        <v>284</v>
      </c>
      <c r="K14" s="359"/>
      <c r="L14" s="334"/>
      <c r="M14" s="339"/>
    </row>
    <row r="15" spans="2:13" ht="19.5" customHeight="1">
      <c r="B15" s="358" t="s">
        <v>463</v>
      </c>
      <c r="C15" s="359"/>
      <c r="D15" s="360"/>
      <c r="E15" s="361"/>
      <c r="F15" s="299" t="s">
        <v>464</v>
      </c>
      <c r="G15" s="362"/>
      <c r="H15" s="363"/>
      <c r="I15" s="364"/>
      <c r="J15" s="365" t="s">
        <v>284</v>
      </c>
      <c r="K15" s="359"/>
      <c r="L15" s="334"/>
      <c r="M15" s="339"/>
    </row>
    <row r="16" spans="2:13" ht="19.5" customHeight="1">
      <c r="B16" s="358" t="s">
        <v>463</v>
      </c>
      <c r="C16" s="359"/>
      <c r="D16" s="360"/>
      <c r="E16" s="361"/>
      <c r="F16" s="299" t="s">
        <v>464</v>
      </c>
      <c r="G16" s="362"/>
      <c r="H16" s="363"/>
      <c r="I16" s="364"/>
      <c r="J16" s="365" t="s">
        <v>284</v>
      </c>
      <c r="K16" s="359"/>
      <c r="L16" s="334"/>
      <c r="M16" s="339"/>
    </row>
    <row r="17" spans="2:13" ht="19.5" customHeight="1" thickBot="1">
      <c r="B17" s="358" t="s">
        <v>463</v>
      </c>
      <c r="C17" s="359"/>
      <c r="D17" s="366"/>
      <c r="E17" s="367"/>
      <c r="F17" s="300" t="s">
        <v>464</v>
      </c>
      <c r="G17" s="362"/>
      <c r="H17" s="363"/>
      <c r="I17" s="364"/>
      <c r="J17" s="365" t="s">
        <v>284</v>
      </c>
      <c r="K17" s="359"/>
      <c r="L17" s="334"/>
      <c r="M17" s="339"/>
    </row>
    <row r="18" spans="2:13" ht="19.5" customHeight="1" thickBot="1">
      <c r="B18" s="368" t="s">
        <v>465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70"/>
    </row>
    <row r="19" spans="2:13" ht="19.5" customHeight="1">
      <c r="B19" s="371" t="s">
        <v>466</v>
      </c>
      <c r="C19" s="372"/>
      <c r="D19" s="301" t="s">
        <v>513</v>
      </c>
      <c r="E19" s="302" t="s">
        <v>510</v>
      </c>
      <c r="F19" s="377"/>
      <c r="G19" s="377"/>
      <c r="H19" s="377"/>
      <c r="I19" s="377"/>
      <c r="J19" s="377"/>
      <c r="K19" s="377"/>
      <c r="L19" s="377"/>
      <c r="M19" s="378"/>
    </row>
    <row r="20" spans="2:13" ht="19.5" customHeight="1">
      <c r="B20" s="373"/>
      <c r="C20" s="374"/>
      <c r="D20" s="303" t="s">
        <v>514</v>
      </c>
      <c r="E20" s="304" t="s">
        <v>511</v>
      </c>
      <c r="F20" s="379" t="s">
        <v>467</v>
      </c>
      <c r="G20" s="379"/>
      <c r="H20" s="379"/>
      <c r="I20" s="379"/>
      <c r="J20" s="379"/>
      <c r="K20" s="379"/>
      <c r="L20" s="379"/>
      <c r="M20" s="380"/>
    </row>
    <row r="21" spans="2:13" ht="19.5" customHeight="1" thickBot="1">
      <c r="B21" s="375"/>
      <c r="C21" s="376"/>
      <c r="D21" s="305" t="s">
        <v>514</v>
      </c>
      <c r="E21" s="306" t="s">
        <v>512</v>
      </c>
      <c r="F21" s="381" t="s">
        <v>467</v>
      </c>
      <c r="G21" s="381"/>
      <c r="H21" s="381"/>
      <c r="I21" s="381" t="s">
        <v>468</v>
      </c>
      <c r="J21" s="381"/>
      <c r="K21" s="307" t="s">
        <v>469</v>
      </c>
      <c r="L21" s="308"/>
      <c r="M21" s="309" t="s">
        <v>470</v>
      </c>
    </row>
    <row r="22" spans="2:13" ht="19.5" customHeight="1">
      <c r="B22" s="371" t="s">
        <v>471</v>
      </c>
      <c r="C22" s="382"/>
      <c r="D22" s="385" t="s">
        <v>472</v>
      </c>
      <c r="E22" s="386"/>
      <c r="F22" s="386"/>
      <c r="G22" s="386"/>
      <c r="H22" s="386"/>
      <c r="I22" s="386"/>
      <c r="J22" s="386"/>
      <c r="K22" s="386"/>
      <c r="L22" s="386"/>
      <c r="M22" s="387"/>
    </row>
    <row r="23" spans="2:13" ht="19.5" customHeight="1">
      <c r="B23" s="373"/>
      <c r="C23" s="383"/>
      <c r="D23" s="388"/>
      <c r="E23" s="389"/>
      <c r="F23" s="389"/>
      <c r="G23" s="389"/>
      <c r="H23" s="389"/>
      <c r="I23" s="389"/>
      <c r="J23" s="389"/>
      <c r="K23" s="389"/>
      <c r="L23" s="389"/>
      <c r="M23" s="390"/>
    </row>
    <row r="24" spans="2:13" ht="19.5" customHeight="1" thickBot="1">
      <c r="B24" s="375"/>
      <c r="C24" s="384"/>
      <c r="D24" s="391"/>
      <c r="E24" s="392"/>
      <c r="F24" s="392"/>
      <c r="G24" s="392"/>
      <c r="H24" s="392"/>
      <c r="I24" s="392"/>
      <c r="J24" s="392"/>
      <c r="K24" s="392"/>
      <c r="L24" s="392"/>
      <c r="M24" s="393"/>
    </row>
    <row r="25" spans="2:13" ht="19.5" customHeight="1">
      <c r="B25" s="371" t="s">
        <v>473</v>
      </c>
      <c r="C25" s="382"/>
      <c r="D25" s="396" t="s">
        <v>474</v>
      </c>
      <c r="E25" s="397"/>
      <c r="F25" s="397"/>
      <c r="G25" s="397"/>
      <c r="H25" s="397"/>
      <c r="I25" s="397"/>
      <c r="J25" s="397"/>
      <c r="K25" s="397"/>
      <c r="L25" s="397"/>
      <c r="M25" s="398"/>
    </row>
    <row r="26" spans="2:13" ht="19.5" customHeight="1">
      <c r="B26" s="373"/>
      <c r="C26" s="383"/>
      <c r="D26" s="388"/>
      <c r="E26" s="389"/>
      <c r="F26" s="389"/>
      <c r="G26" s="389"/>
      <c r="H26" s="389"/>
      <c r="I26" s="389"/>
      <c r="J26" s="389"/>
      <c r="K26" s="389"/>
      <c r="L26" s="389"/>
      <c r="M26" s="390"/>
    </row>
    <row r="27" spans="2:13" ht="19.5" customHeight="1" thickBot="1">
      <c r="B27" s="394"/>
      <c r="C27" s="395"/>
      <c r="D27" s="391"/>
      <c r="E27" s="392"/>
      <c r="F27" s="392"/>
      <c r="G27" s="392"/>
      <c r="H27" s="392"/>
      <c r="I27" s="392"/>
      <c r="J27" s="392"/>
      <c r="K27" s="392"/>
      <c r="L27" s="392"/>
      <c r="M27" s="393"/>
    </row>
    <row r="28" spans="2:13" ht="19.5" customHeight="1">
      <c r="B28" s="399" t="s">
        <v>475</v>
      </c>
      <c r="C28" s="382"/>
      <c r="D28" s="396" t="s">
        <v>476</v>
      </c>
      <c r="E28" s="397"/>
      <c r="F28" s="397"/>
      <c r="G28" s="397"/>
      <c r="H28" s="397"/>
      <c r="I28" s="397"/>
      <c r="J28" s="397"/>
      <c r="K28" s="397"/>
      <c r="L28" s="397"/>
      <c r="M28" s="398"/>
    </row>
    <row r="29" spans="2:13" ht="19.5" customHeight="1">
      <c r="B29" s="400"/>
      <c r="C29" s="383"/>
      <c r="D29" s="388"/>
      <c r="E29" s="389"/>
      <c r="F29" s="389"/>
      <c r="G29" s="389"/>
      <c r="H29" s="389"/>
      <c r="I29" s="389"/>
      <c r="J29" s="389"/>
      <c r="K29" s="389"/>
      <c r="L29" s="389"/>
      <c r="M29" s="390"/>
    </row>
    <row r="30" spans="2:13" ht="19.5" customHeight="1">
      <c r="B30" s="400"/>
      <c r="C30" s="383"/>
      <c r="D30" s="388"/>
      <c r="E30" s="389"/>
      <c r="F30" s="389"/>
      <c r="G30" s="389"/>
      <c r="H30" s="389"/>
      <c r="I30" s="389"/>
      <c r="J30" s="389"/>
      <c r="K30" s="389"/>
      <c r="L30" s="389"/>
      <c r="M30" s="390"/>
    </row>
    <row r="31" spans="2:13" ht="19.5" customHeight="1">
      <c r="B31" s="400"/>
      <c r="C31" s="383"/>
      <c r="D31" s="388"/>
      <c r="E31" s="389"/>
      <c r="F31" s="389"/>
      <c r="G31" s="389"/>
      <c r="H31" s="389"/>
      <c r="I31" s="389"/>
      <c r="J31" s="389"/>
      <c r="K31" s="389"/>
      <c r="L31" s="389"/>
      <c r="M31" s="390"/>
    </row>
    <row r="32" spans="2:13" ht="19.5" customHeight="1" thickBot="1">
      <c r="B32" s="394"/>
      <c r="C32" s="395"/>
      <c r="D32" s="391"/>
      <c r="E32" s="392"/>
      <c r="F32" s="392"/>
      <c r="G32" s="392"/>
      <c r="H32" s="392"/>
      <c r="I32" s="392"/>
      <c r="J32" s="392"/>
      <c r="K32" s="392"/>
      <c r="L32" s="392"/>
      <c r="M32" s="393"/>
    </row>
    <row r="33" spans="2:13" ht="19.5" customHeight="1">
      <c r="B33" s="401" t="s">
        <v>477</v>
      </c>
      <c r="C33" s="402"/>
      <c r="D33" s="407"/>
      <c r="E33" s="408"/>
      <c r="F33" s="408"/>
      <c r="G33" s="408"/>
      <c r="H33" s="408"/>
      <c r="I33" s="408"/>
      <c r="J33" s="408"/>
      <c r="K33" s="408"/>
      <c r="L33" s="408"/>
      <c r="M33" s="409"/>
    </row>
    <row r="34" spans="2:13" ht="19.5" customHeight="1">
      <c r="B34" s="403"/>
      <c r="C34" s="404"/>
      <c r="D34" s="345"/>
      <c r="E34" s="346"/>
      <c r="F34" s="346"/>
      <c r="G34" s="346"/>
      <c r="H34" s="346"/>
      <c r="I34" s="346"/>
      <c r="J34" s="346"/>
      <c r="K34" s="346"/>
      <c r="L34" s="346"/>
      <c r="M34" s="347"/>
    </row>
    <row r="35" spans="2:13" ht="19.5" customHeight="1">
      <c r="B35" s="403"/>
      <c r="C35" s="404"/>
      <c r="D35" s="345"/>
      <c r="E35" s="346"/>
      <c r="F35" s="346"/>
      <c r="G35" s="346"/>
      <c r="H35" s="346"/>
      <c r="I35" s="346"/>
      <c r="J35" s="346"/>
      <c r="K35" s="346"/>
      <c r="L35" s="346"/>
      <c r="M35" s="347"/>
    </row>
    <row r="36" spans="2:13" ht="19.5" customHeight="1">
      <c r="B36" s="403"/>
      <c r="C36" s="404"/>
      <c r="D36" s="345"/>
      <c r="E36" s="346"/>
      <c r="F36" s="346"/>
      <c r="G36" s="346"/>
      <c r="H36" s="346"/>
      <c r="I36" s="346"/>
      <c r="J36" s="346"/>
      <c r="K36" s="346"/>
      <c r="L36" s="346"/>
      <c r="M36" s="347"/>
    </row>
    <row r="37" spans="2:13" ht="19.5" customHeight="1" thickBot="1">
      <c r="B37" s="405"/>
      <c r="C37" s="406"/>
      <c r="D37" s="410"/>
      <c r="E37" s="411"/>
      <c r="F37" s="411"/>
      <c r="G37" s="411"/>
      <c r="H37" s="411"/>
      <c r="I37" s="411"/>
      <c r="J37" s="411"/>
      <c r="K37" s="411"/>
      <c r="L37" s="411"/>
      <c r="M37" s="412"/>
    </row>
  </sheetData>
  <sheetProtection/>
  <mergeCells count="91">
    <mergeCell ref="B33:C37"/>
    <mergeCell ref="D33:M33"/>
    <mergeCell ref="D34:M34"/>
    <mergeCell ref="D35:M35"/>
    <mergeCell ref="D36:M36"/>
    <mergeCell ref="D37:M37"/>
    <mergeCell ref="B28:C32"/>
    <mergeCell ref="D28:M28"/>
    <mergeCell ref="D29:M29"/>
    <mergeCell ref="D30:M30"/>
    <mergeCell ref="D31:M31"/>
    <mergeCell ref="D32:M32"/>
    <mergeCell ref="B22:C24"/>
    <mergeCell ref="D22:M22"/>
    <mergeCell ref="D23:M23"/>
    <mergeCell ref="D24:M24"/>
    <mergeCell ref="B25:C27"/>
    <mergeCell ref="D25:M25"/>
    <mergeCell ref="D26:M26"/>
    <mergeCell ref="D27:M27"/>
    <mergeCell ref="B19:C21"/>
    <mergeCell ref="F19:M19"/>
    <mergeCell ref="F20:H20"/>
    <mergeCell ref="I20:M20"/>
    <mergeCell ref="F21:H21"/>
    <mergeCell ref="I21:J21"/>
    <mergeCell ref="B17:C17"/>
    <mergeCell ref="D17:E17"/>
    <mergeCell ref="G17:I17"/>
    <mergeCell ref="J17:K17"/>
    <mergeCell ref="L17:M17"/>
    <mergeCell ref="B18:M18"/>
    <mergeCell ref="B15:C15"/>
    <mergeCell ref="D15:E15"/>
    <mergeCell ref="G15:I15"/>
    <mergeCell ref="J15:K15"/>
    <mergeCell ref="L15:M15"/>
    <mergeCell ref="B16:C16"/>
    <mergeCell ref="D16:E16"/>
    <mergeCell ref="G16:I16"/>
    <mergeCell ref="J16:K16"/>
    <mergeCell ref="L16:M16"/>
    <mergeCell ref="B13:I13"/>
    <mergeCell ref="J13:M13"/>
    <mergeCell ref="B14:C14"/>
    <mergeCell ref="D14:E14"/>
    <mergeCell ref="G14:I14"/>
    <mergeCell ref="J14:K14"/>
    <mergeCell ref="L14:M14"/>
    <mergeCell ref="B11:C11"/>
    <mergeCell ref="D11:F11"/>
    <mergeCell ref="G11:H11"/>
    <mergeCell ref="I11:M11"/>
    <mergeCell ref="B12:C12"/>
    <mergeCell ref="D12:F12"/>
    <mergeCell ref="G12:H12"/>
    <mergeCell ref="I12:M12"/>
    <mergeCell ref="B9:C9"/>
    <mergeCell ref="D9:F9"/>
    <mergeCell ref="G9:H9"/>
    <mergeCell ref="I9:M9"/>
    <mergeCell ref="B10:C10"/>
    <mergeCell ref="D10:F10"/>
    <mergeCell ref="G10:H10"/>
    <mergeCell ref="I10:M10"/>
    <mergeCell ref="I6:M6"/>
    <mergeCell ref="D7:F7"/>
    <mergeCell ref="I7:M7"/>
    <mergeCell ref="B8:C8"/>
    <mergeCell ref="D8:F8"/>
    <mergeCell ref="G8:H8"/>
    <mergeCell ref="I8:M8"/>
    <mergeCell ref="B4:C4"/>
    <mergeCell ref="D4:E4"/>
    <mergeCell ref="G4:H4"/>
    <mergeCell ref="I4:J4"/>
    <mergeCell ref="K4:M4"/>
    <mergeCell ref="B5:B7"/>
    <mergeCell ref="D5:F5"/>
    <mergeCell ref="G5:G7"/>
    <mergeCell ref="I5:M5"/>
    <mergeCell ref="D6:F6"/>
    <mergeCell ref="B1:H1"/>
    <mergeCell ref="I1:M1"/>
    <mergeCell ref="B2:F2"/>
    <mergeCell ref="G2:M2"/>
    <mergeCell ref="B3:C3"/>
    <mergeCell ref="D3:E3"/>
    <mergeCell ref="G3:H3"/>
    <mergeCell ref="I3:J3"/>
    <mergeCell ref="K3:M3"/>
  </mergeCells>
  <dataValidations count="6">
    <dataValidation type="list" allowBlank="1" showInputMessage="1" showErrorMessage="1" imeMode="on" sqref="D11:E11">
      <formula1>"男性,女性"</formula1>
    </dataValidation>
    <dataValidation allowBlank="1" showInputMessage="1" showErrorMessage="1" imeMode="halfKatakana" sqref="D4 F4"/>
    <dataValidation allowBlank="1" showInputMessage="1" showErrorMessage="1" imeMode="on" sqref="D6:E8"/>
    <dataValidation type="whole" allowBlank="1" showInputMessage="1" showErrorMessage="1" imeMode="off" sqref="D10:E10">
      <formula1>16</formula1>
      <formula2>99</formula2>
    </dataValidation>
    <dataValidation type="list" allowBlank="1" showInputMessage="1" showErrorMessage="1" sqref="D12:E12">
      <formula1>"会社員,専業主婦,専業主夫,自営業,役員,学生,自由業,パート,アルバイト,無職,その他"</formula1>
    </dataValidation>
    <dataValidation type="list" allowBlank="1" showInputMessage="1" showErrorMessage="1" sqref="D19:D21">
      <formula1>"○,×"</formula1>
    </dataValidation>
  </dataValidations>
  <printOptions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Header>&amp;L&amp;"HG丸ｺﾞｼｯｸM-PRO,太字"&amp;12夫婦間合意契約書　必要事項記入シート&amp;R&amp;"HG丸ｺﾞｼｯｸM-PRO,太字"&amp;14FAX：03-6268-9018</oddHeader>
    <oddFooter>&amp;L弁護士法人法律会計事務所さくらパートナーズ　／　行政書士　東京中央法務オフィス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2:AD505"/>
  <sheetViews>
    <sheetView workbookViewId="0" topLeftCell="A1">
      <selection activeCell="A1" sqref="A1"/>
    </sheetView>
  </sheetViews>
  <sheetFormatPr defaultColWidth="9.140625" defaultRowHeight="16.5" customHeight="1"/>
  <cols>
    <col min="1" max="1" width="3.00390625" style="142" bestFit="1" customWidth="1"/>
    <col min="2" max="2" width="15.28125" style="142" bestFit="1" customWidth="1"/>
    <col min="3" max="3" width="9.28125" style="142" bestFit="1" customWidth="1"/>
    <col min="4" max="4" width="23.8515625" style="142" bestFit="1" customWidth="1"/>
    <col min="5" max="5" width="2.57421875" style="142" customWidth="1"/>
    <col min="6" max="6" width="5.421875" style="39" bestFit="1" customWidth="1"/>
    <col min="7" max="7" width="2.57421875" style="40" hidden="1" customWidth="1"/>
    <col min="8" max="8" width="11.00390625" style="142" bestFit="1" customWidth="1"/>
    <col min="9" max="9" width="9.00390625" style="142" bestFit="1" customWidth="1"/>
    <col min="10" max="10" width="2.57421875" style="142" hidden="1" customWidth="1"/>
    <col min="11" max="11" width="12.00390625" style="41" customWidth="1"/>
    <col min="12" max="12" width="11.00390625" style="142" customWidth="1"/>
    <col min="13" max="13" width="10.57421875" style="142" customWidth="1"/>
    <col min="14" max="14" width="12.00390625" style="41" customWidth="1"/>
    <col min="15" max="15" width="11.00390625" style="142" customWidth="1"/>
    <col min="16" max="16" width="10.57421875" style="142" customWidth="1"/>
    <col min="17" max="17" width="12.00390625" style="41" customWidth="1"/>
    <col min="18" max="18" width="9.8515625" style="41" bestFit="1" customWidth="1"/>
    <col min="19" max="19" width="9.00390625" style="142" customWidth="1"/>
    <col min="20" max="20" width="2.57421875" style="142" customWidth="1"/>
    <col min="21" max="21" width="9.00390625" style="142" customWidth="1"/>
    <col min="22" max="22" width="4.421875" style="142" bestFit="1" customWidth="1"/>
    <col min="23" max="23" width="13.00390625" style="142" bestFit="1" customWidth="1"/>
    <col min="24" max="24" width="6.57421875" style="142" bestFit="1" customWidth="1"/>
    <col min="25" max="25" width="10.7109375" style="142" bestFit="1" customWidth="1"/>
    <col min="26" max="26" width="10.421875" style="142" bestFit="1" customWidth="1"/>
    <col min="27" max="27" width="3.00390625" style="142" bestFit="1" customWidth="1"/>
    <col min="28" max="29" width="8.421875" style="142" bestFit="1" customWidth="1"/>
    <col min="30" max="16384" width="9.00390625" style="142" customWidth="1"/>
  </cols>
  <sheetData>
    <row r="1" ht="16.5" customHeight="1" thickBot="1"/>
    <row r="2" spans="2:27" ht="16.5" customHeight="1">
      <c r="B2" s="622"/>
      <c r="C2" s="623"/>
      <c r="D2" s="624"/>
      <c r="F2" s="628" t="s">
        <v>410</v>
      </c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30"/>
      <c r="T2" s="17"/>
      <c r="V2" s="634" t="s">
        <v>411</v>
      </c>
      <c r="W2" s="634"/>
      <c r="X2" s="634"/>
      <c r="Y2" s="634"/>
      <c r="Z2" s="634"/>
      <c r="AA2" s="133"/>
    </row>
    <row r="3" spans="2:27" ht="16.5" customHeight="1" thickBot="1">
      <c r="B3" s="625"/>
      <c r="C3" s="626"/>
      <c r="D3" s="627"/>
      <c r="F3" s="631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3"/>
      <c r="T3" s="20"/>
      <c r="V3" s="634"/>
      <c r="W3" s="635" t="s">
        <v>412</v>
      </c>
      <c r="X3" s="635" t="s">
        <v>413</v>
      </c>
      <c r="Y3" s="635" t="s">
        <v>414</v>
      </c>
      <c r="Z3" s="198" t="s">
        <v>415</v>
      </c>
      <c r="AA3" s="20"/>
    </row>
    <row r="4" spans="6:27" ht="16.5" customHeight="1" thickBot="1">
      <c r="F4" s="637"/>
      <c r="G4" s="18"/>
      <c r="H4" s="614" t="s">
        <v>416</v>
      </c>
      <c r="I4" s="616" t="s">
        <v>417</v>
      </c>
      <c r="J4" s="19"/>
      <c r="K4" s="200">
        <f>COUNTIF(H$6:H$9999,"&gt;0")</f>
        <v>112</v>
      </c>
      <c r="L4" s="614" t="s">
        <v>418</v>
      </c>
      <c r="M4" s="616" t="s">
        <v>419</v>
      </c>
      <c r="N4" s="200">
        <f>COUNTIF(L$6:L$9999,"&gt;0")</f>
        <v>159</v>
      </c>
      <c r="O4" s="614" t="s">
        <v>420</v>
      </c>
      <c r="P4" s="616" t="s">
        <v>421</v>
      </c>
      <c r="Q4" s="200">
        <f>COUNTIF(O$6:O$9999,"&gt;0")</f>
        <v>223</v>
      </c>
      <c r="R4" s="618" t="s">
        <v>422</v>
      </c>
      <c r="S4" s="620" t="s">
        <v>413</v>
      </c>
      <c r="T4" s="20"/>
      <c r="V4" s="634"/>
      <c r="W4" s="636"/>
      <c r="X4" s="636"/>
      <c r="Y4" s="636"/>
      <c r="Z4" s="22">
        <v>4000000</v>
      </c>
      <c r="AA4" s="134"/>
    </row>
    <row r="5" spans="2:27" ht="16.5" customHeight="1" thickBot="1">
      <c r="B5" s="607" t="s">
        <v>423</v>
      </c>
      <c r="C5" s="608"/>
      <c r="D5" s="609"/>
      <c r="F5" s="638"/>
      <c r="G5" s="21"/>
      <c r="H5" s="615"/>
      <c r="I5" s="617"/>
      <c r="J5" s="199"/>
      <c r="K5" s="201">
        <f>SUM(I6:I505)</f>
        <v>5600000</v>
      </c>
      <c r="L5" s="615"/>
      <c r="M5" s="617"/>
      <c r="N5" s="201">
        <f>SUM(M6:M505)</f>
        <v>7950000</v>
      </c>
      <c r="O5" s="615"/>
      <c r="P5" s="617"/>
      <c r="Q5" s="201">
        <f>SUM(P6:P505)</f>
        <v>11150000</v>
      </c>
      <c r="R5" s="619"/>
      <c r="S5" s="621"/>
      <c r="T5" s="39"/>
      <c r="V5" s="25">
        <v>1</v>
      </c>
      <c r="W5" s="26">
        <f>H6</f>
        <v>43921</v>
      </c>
      <c r="X5" s="144">
        <f>IF(W5="","",YEAR(W5))</f>
        <v>2020</v>
      </c>
      <c r="Y5" s="22">
        <v>40000</v>
      </c>
      <c r="Z5" s="132">
        <f>Z4-Y5</f>
        <v>3960000</v>
      </c>
      <c r="AA5" s="135"/>
    </row>
    <row r="6" spans="2:30" ht="16.5" customHeight="1" thickBot="1">
      <c r="B6" s="610" t="s">
        <v>122</v>
      </c>
      <c r="C6" s="611"/>
      <c r="D6" s="27">
        <v>39985</v>
      </c>
      <c r="F6" s="202">
        <v>1</v>
      </c>
      <c r="G6" s="203">
        <f>D7</f>
        <v>43921</v>
      </c>
      <c r="H6" s="204">
        <f>IF(G6=0,"",G6)</f>
        <v>43921</v>
      </c>
      <c r="I6" s="205">
        <f>IF(D8=0,"",D8)</f>
        <v>50000</v>
      </c>
      <c r="J6" s="206">
        <f>IF(D23=0,"",D23)</f>
        <v>43921</v>
      </c>
      <c r="K6" s="207">
        <f>IF(H6="","",IF(AND(YEAR(H6)=YEAR(D$15),MONTH(H6)=MONTH(D$15)),B$15,IF(AND(YEAR(H6)=YEAR(D$16),MONTH(H6)=MONTH(D$16)),B$16,IF(AND(YEAR(H6)=YEAR(D$17),MONTH(H6)=MONTH(D$17)),B$17,IF(AND(YEAR(H6)=YEAR(D$19),MONTH(H6)=MONTH(D$19)),B$19,IF(AND(YEAR(H6)=YEAR(D$18),MONTH(H6)=MONTH(D$18)),B$18,AB6))))))</f>
      </c>
      <c r="L6" s="204">
        <f>IF(OR(D22=0,J6=""),"",J6)</f>
        <v>43921</v>
      </c>
      <c r="M6" s="205">
        <f>IF(OR(L6="",D24=0),"",D24)</f>
        <v>50000</v>
      </c>
      <c r="N6" s="207">
        <f>IF(L6="","",IF(AND(YEAR(L6)=YEAR(D$31),MONTH(L6)=MONTH(D$31)),B$31,IF(AND(YEAR(L6)=YEAR(D$32),MONTH(L6)=MONTH(D$32)),B$32,IF(AND(YEAR(L6)=YEAR(D$33),MONTH(L6)=MONTH(D$33)),B$33,IF(AND(YEAR(L6)=YEAR(D$35),MONTH(L6)=MONTH(D$35)),B$35,IF(AND(YEAR(L6)=YEAR(D$34),MONTH(L6)=MONTH(D$34)),B$34,AC6))))))</f>
      </c>
      <c r="O6" s="204">
        <f>IF(OR(D38=0,J6=""),"",J6)</f>
        <v>43921</v>
      </c>
      <c r="P6" s="205">
        <f>IF(OR(L6="",D40=0),"",D40)</f>
        <v>50000</v>
      </c>
      <c r="Q6" s="207">
        <f>IF(O6="","",AD6)</f>
      </c>
      <c r="R6" s="208">
        <f>IF(I6="",0,I6)+IF(M6="",0,M6)+IF(P6="",0,P6)</f>
        <v>150000</v>
      </c>
      <c r="S6" s="209">
        <f>IF(AND(O6="",L6=""),"",IF(ISERROR(YEAR(O6)),YEAR(L6),YEAR(O6)))</f>
        <v>2020</v>
      </c>
      <c r="T6" s="39"/>
      <c r="V6" s="25">
        <f>V5+1</f>
        <v>2</v>
      </c>
      <c r="W6" s="26">
        <f aca="true" t="shared" si="0" ref="W6:W58">H7</f>
        <v>43951</v>
      </c>
      <c r="X6" s="144">
        <f>IF(W6="","",YEAR(W6))</f>
        <v>2020</v>
      </c>
      <c r="Y6" s="22">
        <f>Y5</f>
        <v>40000</v>
      </c>
      <c r="Z6" s="132">
        <f>Z5-Y6</f>
        <v>3920000</v>
      </c>
      <c r="AA6" s="135"/>
      <c r="AB6" s="136">
        <f>IF(H6="","",IF(AND(MONTH(D$6)=MONTH(H6)),YEAR(H6)-YEAR(D$6)&amp;"歳誕生月",""))</f>
      </c>
      <c r="AC6" s="136">
        <f>IF(L6="","",IF(AND(MONTH(D$22)=MONTH(L6)),YEAR(L6)-YEAR(D$22)&amp;"歳誕生月",""))</f>
      </c>
      <c r="AD6" s="136">
        <f>IF(O6="","",IF(AND(MONTH(D$38)=MONTH(O6)),YEAR(O6)-YEAR(D$38)&amp;"歳誕生月",""))</f>
      </c>
    </row>
    <row r="7" spans="2:30" ht="16.5" customHeight="1">
      <c r="B7" s="612" t="s">
        <v>424</v>
      </c>
      <c r="C7" s="613"/>
      <c r="D7" s="31">
        <v>43921</v>
      </c>
      <c r="F7" s="210">
        <f>F6+1</f>
        <v>2</v>
      </c>
      <c r="G7" s="28">
        <f aca="true" t="shared" si="1" ref="G7:G70">IF(OR(G6="",AND(G6&gt;D$11,J6&gt;D$27)),"",DATE(YEAR(G$6),MONTH(G$6)+F6+IF(OR(D$9="末",D$9=31),1,0),IF(OR(D$9="末",D$9=31),0,D$9)))</f>
        <v>43951</v>
      </c>
      <c r="H7" s="29">
        <f aca="true" t="shared" si="2" ref="H7:H70">IF(H6="","",IF(G7&gt;DATE(YEAR(D$11),MONTH(D$11)+1,0),"",IF(DAY(G7)&lt;&gt;D$9,DATE(YEAR(G7),MONTH(G7)+1,0),G7)))</f>
        <v>43951</v>
      </c>
      <c r="I7" s="22">
        <f>IF(H7="","",IF(AND(D$12&lt;&gt;0,H7&gt;D$12),D$13,I6))</f>
        <v>50000</v>
      </c>
      <c r="J7" s="30">
        <f>IF(OR(J6="",J6&gt;D$27),"",DATE(YEAR(J$6),MONTH(J$6)+F6+IF(OR(D$25="末",D$25=31),1,0),IF(OR(D$25="末",D$25=31),0,D$25)))</f>
        <v>43951</v>
      </c>
      <c r="K7" s="23">
        <f>IF(H7="","",IF(AND(YEAR(H7)=YEAR(D$15),MONTH(H7)=MONTH(D$15)),B$15,IF(AND(YEAR(H7)=YEAR(D$16),MONTH(H7)=MONTH(D$16)),B$16,IF(AND(YEAR(H7)=YEAR(D$17),MONTH(H7)=MONTH(D$17)),B$17,IF(AND(YEAR(H7)=YEAR(D$19),MONTH(H7)=MONTH(D$19)),B$19,IF(AND(YEAR(H7)=YEAR(D$18),MONTH(H7)=MONTH(D$18)),B$18,AB7))))))</f>
      </c>
      <c r="L7" s="29">
        <f>IF(L6="","",IF(AND(J7&gt;DATE(YEAR(D$27),MONTH(D$27)+1,0),J7&gt;D$11),"",IF(DAY(J7)&lt;&gt;D$25,DATE(YEAR(J7),MONTH(J7)+1,0),J7)))</f>
        <v>43951</v>
      </c>
      <c r="M7" s="22">
        <f>IF(L7="","",IF(AND(D$28&lt;&gt;0,L7&gt;D$28),D$29,M6))</f>
        <v>50000</v>
      </c>
      <c r="N7" s="23">
        <f>IF(L7="","",IF(AND(YEAR(L7)=YEAR(D$31),MONTH(L7)=MONTH(D$31)),B$31,IF(AND(YEAR(L7)=YEAR(D$32),MONTH(L7)=MONTH(D$32)),B$32,IF(AND(YEAR(L7)=YEAR(D$33),MONTH(L7)=MONTH(D$33)),B$33,IF(AND(YEAR(L7)=YEAR(D$35),MONTH(L7)=MONTH(D$35)),B$35,IF(AND(YEAR(L7)=YEAR(D$34),MONTH(L7)=MONTH(D$34)),B$34,AC7))))))</f>
      </c>
      <c r="O7" s="29">
        <f aca="true" t="shared" si="3" ref="O7:O70">IF(O6="","",IF(DATE(YEAR(D$43),MONTH(D$43)+1,DAY(0))&lt;=DATE(YEAR(O6),MONTH(O6)+1,DAY(0)),"",IF($D$41="末",DATE(YEAR(O6),MONTH(O6)+2,DAY(0)),DATE(YEAR(O6),MONTH(O6)+1,DAY(O6)))))</f>
        <v>43951</v>
      </c>
      <c r="P7" s="22">
        <f>IF(O7="","",IF(AND(D$44&lt;&gt;0,O7&gt;D$44),D$45,P6))</f>
        <v>50000</v>
      </c>
      <c r="Q7" s="23">
        <f>IF(O7="","",AD7)</f>
      </c>
      <c r="R7" s="24">
        <f>IF(I7="",0,I7)+IF(M7="",0,M7)+IF(P7="",0,P7)</f>
        <v>150000</v>
      </c>
      <c r="S7" s="211">
        <f aca="true" t="shared" si="4" ref="S7:S59">IF(AND(H7="",L7=""),"",IF(ISERROR(YEAR(H7)),YEAR(L7),YEAR(H7)))</f>
        <v>2020</v>
      </c>
      <c r="T7" s="39"/>
      <c r="V7" s="25">
        <f aca="true" t="shared" si="5" ref="V7:V70">V6+1</f>
        <v>3</v>
      </c>
      <c r="W7" s="26">
        <f t="shared" si="0"/>
        <v>43982</v>
      </c>
      <c r="X7" s="144">
        <f aca="true" t="shared" si="6" ref="X7:X70">IF(W7="","",YEAR(W7))</f>
        <v>2020</v>
      </c>
      <c r="Y7" s="22">
        <f aca="true" t="shared" si="7" ref="Y7:Y70">Y6</f>
        <v>40000</v>
      </c>
      <c r="Z7" s="132">
        <f aca="true" t="shared" si="8" ref="Z7:Z70">Z6-Y7</f>
        <v>3880000</v>
      </c>
      <c r="AA7" s="135"/>
      <c r="AB7" s="136">
        <f aca="true" t="shared" si="9" ref="AB7:AB70">IF(H7="","",IF(AND(MONTH(D$6)=MONTH(H7)),YEAR(H7)-YEAR(D$6)&amp;"歳誕生月",""))</f>
      </c>
      <c r="AC7" s="136">
        <f aca="true" t="shared" si="10" ref="AC7:AC70">IF(L7="","",IF(AND(MONTH(D$22)=MONTH(L7)),YEAR(L7)-YEAR(D$22)&amp;"歳誕生月",""))</f>
      </c>
      <c r="AD7" s="136">
        <f aca="true" t="shared" si="11" ref="AD7:AD70">IF(O7="","",IF(AND(MONTH(D$38)=MONTH(O7)),YEAR(O7)-YEAR(D$38)&amp;"歳誕生月",""))</f>
      </c>
    </row>
    <row r="8" spans="2:30" ht="16.5" customHeight="1">
      <c r="B8" s="595" t="s">
        <v>414</v>
      </c>
      <c r="C8" s="596"/>
      <c r="D8" s="32">
        <v>50000</v>
      </c>
      <c r="F8" s="210">
        <f aca="true" t="shared" si="12" ref="F8:F71">F7+1</f>
        <v>3</v>
      </c>
      <c r="G8" s="28">
        <f t="shared" si="1"/>
        <v>43982</v>
      </c>
      <c r="H8" s="29">
        <f t="shared" si="2"/>
        <v>43982</v>
      </c>
      <c r="I8" s="22">
        <f>IF(H8="","",IF(AND(D$12&lt;&gt;0,H8&gt;D$12),D$13,I7))</f>
        <v>50000</v>
      </c>
      <c r="J8" s="30">
        <f aca="true" t="shared" si="13" ref="J8:J71">IF(OR(J7="",J7&gt;D$27),"",DATE(YEAR(J$6),MONTH(J$6)+F7+IF(OR(D$25="末",D$25=31),1,0),IF(OR(D$25="末",D$25=31),0,D$25)))</f>
        <v>43982</v>
      </c>
      <c r="K8" s="23">
        <f>IF(H8="","",IF(AND(YEAR(H8)=YEAR(D$15),MONTH(H8)=MONTH(D$15)),B$15,IF(AND(YEAR(H8)=YEAR(D$16),MONTH(H8)=MONTH(D$16)),B$16,IF(AND(YEAR(H8)=YEAR(D$17),MONTH(H8)=MONTH(D$17)),B$17,IF(AND(YEAR(H8)=YEAR(D$19),MONTH(H8)=MONTH(D$19)),B$19,IF(AND(YEAR(H8)=YEAR(D$18),MONTH(H8)=MONTH(D$18)),B$18,AB8))))))</f>
      </c>
      <c r="L8" s="29">
        <f aca="true" t="shared" si="14" ref="L8:L71">IF(L7="","",IF(AND(J8&gt;DATE(YEAR(D$27),MONTH(D$27)+1,0),J8&gt;D$11),"",IF(DAY(J8)&lt;&gt;D$25,DATE(YEAR(J8),MONTH(J8)+1,0),J8)))</f>
        <v>43982</v>
      </c>
      <c r="M8" s="22">
        <f aca="true" t="shared" si="15" ref="M8:M71">IF(L8="","",IF(AND(D$28&lt;&gt;0,L8&gt;D$28),D$29,M7))</f>
        <v>50000</v>
      </c>
      <c r="N8" s="23" t="str">
        <f>IF(L8="","",IF(AND(YEAR(L8)=YEAR(D$31),MONTH(L8)=MONTH(D$31)),B$31,IF(AND(YEAR(L8)=YEAR(D$32),MONTH(L8)=MONTH(D$32)),B$32,IF(AND(YEAR(L8)=YEAR(D$33),MONTH(L8)=MONTH(D$33)),B$33,IF(AND(YEAR(L8)=YEAR(D$35),MONTH(L8)=MONTH(D$35)),B$35,IF(AND(YEAR(L8)=YEAR(D$34),MONTH(L8)=MONTH(D$34)),B$34,AC8))))))</f>
        <v>7歳誕生月</v>
      </c>
      <c r="O8" s="29">
        <f t="shared" si="3"/>
        <v>43982</v>
      </c>
      <c r="P8" s="22">
        <f aca="true" t="shared" si="16" ref="P8:P71">IF(O8="","",IF(AND(D$44&lt;&gt;0,O8&gt;D$44),D$45,P7))</f>
        <v>50000</v>
      </c>
      <c r="Q8" s="23">
        <f aca="true" t="shared" si="17" ref="Q8:Q71">IF(O8="","",AD8)</f>
      </c>
      <c r="R8" s="24">
        <f aca="true" t="shared" si="18" ref="R8:R71">IF(I8="",0,I8)+IF(M8="",0,M8)+IF(P8="",0,P8)</f>
        <v>150000</v>
      </c>
      <c r="S8" s="211">
        <f t="shared" si="4"/>
        <v>2020</v>
      </c>
      <c r="T8" s="39"/>
      <c r="V8" s="25">
        <f t="shared" si="5"/>
        <v>4</v>
      </c>
      <c r="W8" s="26">
        <f t="shared" si="0"/>
        <v>44012</v>
      </c>
      <c r="X8" s="144">
        <f t="shared" si="6"/>
        <v>2020</v>
      </c>
      <c r="Y8" s="22">
        <f t="shared" si="7"/>
        <v>40000</v>
      </c>
      <c r="Z8" s="132">
        <f t="shared" si="8"/>
        <v>3840000</v>
      </c>
      <c r="AA8" s="135"/>
      <c r="AB8" s="136">
        <f t="shared" si="9"/>
      </c>
      <c r="AC8" s="136" t="str">
        <f t="shared" si="10"/>
        <v>7歳誕生月</v>
      </c>
      <c r="AD8" s="136">
        <f t="shared" si="11"/>
      </c>
    </row>
    <row r="9" spans="2:30" ht="16.5" customHeight="1">
      <c r="B9" s="595" t="s">
        <v>425</v>
      </c>
      <c r="C9" s="596"/>
      <c r="D9" s="33" t="s">
        <v>322</v>
      </c>
      <c r="F9" s="210">
        <f t="shared" si="12"/>
        <v>4</v>
      </c>
      <c r="G9" s="28">
        <f t="shared" si="1"/>
        <v>44012</v>
      </c>
      <c r="H9" s="29">
        <f t="shared" si="2"/>
        <v>44012</v>
      </c>
      <c r="I9" s="22">
        <f aca="true" t="shared" si="19" ref="I9:I72">IF(H9="","",IF(AND(D$12&lt;&gt;0,H9&gt;D$12),D$13,I8))</f>
        <v>50000</v>
      </c>
      <c r="J9" s="30">
        <f t="shared" si="13"/>
        <v>44012</v>
      </c>
      <c r="K9" s="23" t="str">
        <f aca="true" t="shared" si="20" ref="K9:K72">IF(H9="","",IF(AND(YEAR(H9)=YEAR(D$15),MONTH(H9)=MONTH(D$15)),B$15,IF(AND(YEAR(H9)=YEAR(D$16),MONTH(H9)=MONTH(D$16)),B$16,IF(AND(YEAR(H9)=YEAR(D$17),MONTH(H9)=MONTH(D$17)),B$17,IF(AND(YEAR(H9)=YEAR(D$19),MONTH(H9)=MONTH(D$19)),B$19,IF(AND(YEAR(H9)=YEAR(D$18),MONTH(H9)=MONTH(D$18)),B$18,AB9))))))</f>
        <v>11歳誕生月</v>
      </c>
      <c r="L9" s="29">
        <f t="shared" si="14"/>
        <v>44012</v>
      </c>
      <c r="M9" s="22">
        <f t="shared" si="15"/>
        <v>50000</v>
      </c>
      <c r="N9" s="23">
        <f aca="true" t="shared" si="21" ref="N9:N72">IF(L9="","",IF(AND(YEAR(L9)=YEAR(D$31),MONTH(L9)=MONTH(D$31)),B$31,IF(AND(YEAR(L9)=YEAR(D$32),MONTH(L9)=MONTH(D$32)),B$32,IF(AND(YEAR(L9)=YEAR(D$33),MONTH(L9)=MONTH(D$33)),B$33,IF(AND(YEAR(L9)=YEAR(D$35),MONTH(L9)=MONTH(D$35)),B$35,IF(AND(YEAR(L9)=YEAR(D$34),MONTH(L9)=MONTH(D$34)),B$34,AC9))))))</f>
      </c>
      <c r="O9" s="29">
        <f t="shared" si="3"/>
        <v>44012</v>
      </c>
      <c r="P9" s="22">
        <f t="shared" si="16"/>
        <v>50000</v>
      </c>
      <c r="Q9" s="23">
        <f t="shared" si="17"/>
      </c>
      <c r="R9" s="24">
        <f t="shared" si="18"/>
        <v>150000</v>
      </c>
      <c r="S9" s="211">
        <f t="shared" si="4"/>
        <v>2020</v>
      </c>
      <c r="T9" s="39"/>
      <c r="V9" s="25">
        <f t="shared" si="5"/>
        <v>5</v>
      </c>
      <c r="W9" s="26">
        <f t="shared" si="0"/>
        <v>44043</v>
      </c>
      <c r="X9" s="144">
        <f t="shared" si="6"/>
        <v>2020</v>
      </c>
      <c r="Y9" s="22">
        <f t="shared" si="7"/>
        <v>40000</v>
      </c>
      <c r="Z9" s="132">
        <f t="shared" si="8"/>
        <v>3800000</v>
      </c>
      <c r="AA9" s="135"/>
      <c r="AB9" s="136" t="str">
        <f t="shared" si="9"/>
        <v>11歳誕生月</v>
      </c>
      <c r="AC9" s="136">
        <f t="shared" si="10"/>
      </c>
      <c r="AD9" s="136">
        <f t="shared" si="11"/>
      </c>
    </row>
    <row r="10" spans="2:30" ht="16.5" customHeight="1">
      <c r="B10" s="597" t="s">
        <v>426</v>
      </c>
      <c r="C10" s="598"/>
      <c r="D10" s="34" t="s">
        <v>427</v>
      </c>
      <c r="F10" s="210">
        <f t="shared" si="12"/>
        <v>5</v>
      </c>
      <c r="G10" s="28">
        <f t="shared" si="1"/>
        <v>44043</v>
      </c>
      <c r="H10" s="29">
        <f t="shared" si="2"/>
        <v>44043</v>
      </c>
      <c r="I10" s="22">
        <f t="shared" si="19"/>
        <v>50000</v>
      </c>
      <c r="J10" s="30">
        <f t="shared" si="13"/>
        <v>44043</v>
      </c>
      <c r="K10" s="23">
        <f t="shared" si="20"/>
      </c>
      <c r="L10" s="29">
        <f t="shared" si="14"/>
        <v>44043</v>
      </c>
      <c r="M10" s="22">
        <f t="shared" si="15"/>
        <v>50000</v>
      </c>
      <c r="N10" s="23">
        <f t="shared" si="21"/>
      </c>
      <c r="O10" s="29">
        <f t="shared" si="3"/>
        <v>44043</v>
      </c>
      <c r="P10" s="22">
        <f t="shared" si="16"/>
        <v>50000</v>
      </c>
      <c r="Q10" s="23">
        <f t="shared" si="17"/>
      </c>
      <c r="R10" s="24">
        <f t="shared" si="18"/>
        <v>150000</v>
      </c>
      <c r="S10" s="211">
        <f t="shared" si="4"/>
        <v>2020</v>
      </c>
      <c r="T10" s="39"/>
      <c r="V10" s="25">
        <f t="shared" si="5"/>
        <v>6</v>
      </c>
      <c r="W10" s="26">
        <f t="shared" si="0"/>
        <v>44074</v>
      </c>
      <c r="X10" s="144">
        <f t="shared" si="6"/>
        <v>2020</v>
      </c>
      <c r="Y10" s="22">
        <f t="shared" si="7"/>
        <v>40000</v>
      </c>
      <c r="Z10" s="132">
        <f t="shared" si="8"/>
        <v>3760000</v>
      </c>
      <c r="AA10" s="135"/>
      <c r="AB10" s="136">
        <f t="shared" si="9"/>
      </c>
      <c r="AC10" s="136">
        <f t="shared" si="10"/>
      </c>
      <c r="AD10" s="136">
        <f t="shared" si="11"/>
      </c>
    </row>
    <row r="11" spans="2:30" ht="16.5" customHeight="1" thickBot="1">
      <c r="B11" s="599"/>
      <c r="C11" s="600"/>
      <c r="D11" s="137">
        <f>IF(D10="","",VLOOKUP(D10,B14:D19,3,0))</f>
        <v>47290</v>
      </c>
      <c r="F11" s="210">
        <f t="shared" si="12"/>
        <v>6</v>
      </c>
      <c r="G11" s="28">
        <f t="shared" si="1"/>
        <v>44074</v>
      </c>
      <c r="H11" s="29">
        <f t="shared" si="2"/>
        <v>44074</v>
      </c>
      <c r="I11" s="22">
        <f t="shared" si="19"/>
        <v>50000</v>
      </c>
      <c r="J11" s="30">
        <f t="shared" si="13"/>
        <v>44074</v>
      </c>
      <c r="K11" s="23">
        <f t="shared" si="20"/>
      </c>
      <c r="L11" s="29">
        <f t="shared" si="14"/>
        <v>44074</v>
      </c>
      <c r="M11" s="22">
        <f t="shared" si="15"/>
        <v>50000</v>
      </c>
      <c r="N11" s="23">
        <f t="shared" si="21"/>
      </c>
      <c r="O11" s="29">
        <f t="shared" si="3"/>
        <v>44074</v>
      </c>
      <c r="P11" s="22">
        <f t="shared" si="16"/>
        <v>50000</v>
      </c>
      <c r="Q11" s="23">
        <f t="shared" si="17"/>
      </c>
      <c r="R11" s="24">
        <f>IF(I11="",0,I11)+IF(M11="",0,M11)+IF(P11="",0,P11)</f>
        <v>150000</v>
      </c>
      <c r="S11" s="211">
        <f t="shared" si="4"/>
        <v>2020</v>
      </c>
      <c r="T11" s="39"/>
      <c r="V11" s="25">
        <f t="shared" si="5"/>
        <v>7</v>
      </c>
      <c r="W11" s="26">
        <f t="shared" si="0"/>
        <v>44104</v>
      </c>
      <c r="X11" s="144">
        <f t="shared" si="6"/>
        <v>2020</v>
      </c>
      <c r="Y11" s="22">
        <f t="shared" si="7"/>
        <v>40000</v>
      </c>
      <c r="Z11" s="132">
        <f t="shared" si="8"/>
        <v>3720000</v>
      </c>
      <c r="AA11" s="135"/>
      <c r="AB11" s="136">
        <f t="shared" si="9"/>
      </c>
      <c r="AC11" s="136">
        <f t="shared" si="10"/>
      </c>
      <c r="AD11" s="136">
        <f t="shared" si="11"/>
      </c>
    </row>
    <row r="12" spans="2:30" ht="16.5" customHeight="1">
      <c r="B12" s="601" t="s">
        <v>319</v>
      </c>
      <c r="C12" s="130" t="s">
        <v>320</v>
      </c>
      <c r="D12" s="31"/>
      <c r="F12" s="210">
        <f t="shared" si="12"/>
        <v>7</v>
      </c>
      <c r="G12" s="28">
        <f t="shared" si="1"/>
        <v>44104</v>
      </c>
      <c r="H12" s="29">
        <f t="shared" si="2"/>
        <v>44104</v>
      </c>
      <c r="I12" s="22">
        <f t="shared" si="19"/>
        <v>50000</v>
      </c>
      <c r="J12" s="30">
        <f t="shared" si="13"/>
        <v>44104</v>
      </c>
      <c r="K12" s="23">
        <f t="shared" si="20"/>
      </c>
      <c r="L12" s="29">
        <f t="shared" si="14"/>
        <v>44104</v>
      </c>
      <c r="M12" s="22">
        <f t="shared" si="15"/>
        <v>50000</v>
      </c>
      <c r="N12" s="23">
        <f t="shared" si="21"/>
      </c>
      <c r="O12" s="29">
        <f t="shared" si="3"/>
        <v>44104</v>
      </c>
      <c r="P12" s="22">
        <f t="shared" si="16"/>
        <v>50000</v>
      </c>
      <c r="Q12" s="23" t="str">
        <f t="shared" si="17"/>
        <v>2歳誕生月</v>
      </c>
      <c r="R12" s="24">
        <f t="shared" si="18"/>
        <v>150000</v>
      </c>
      <c r="S12" s="211">
        <f t="shared" si="4"/>
        <v>2020</v>
      </c>
      <c r="T12" s="39"/>
      <c r="V12" s="25">
        <f t="shared" si="5"/>
        <v>8</v>
      </c>
      <c r="W12" s="26">
        <f t="shared" si="0"/>
        <v>44135</v>
      </c>
      <c r="X12" s="144">
        <f t="shared" si="6"/>
        <v>2020</v>
      </c>
      <c r="Y12" s="22">
        <f t="shared" si="7"/>
        <v>40000</v>
      </c>
      <c r="Z12" s="132">
        <f t="shared" si="8"/>
        <v>3680000</v>
      </c>
      <c r="AA12" s="135"/>
      <c r="AB12" s="136">
        <f t="shared" si="9"/>
      </c>
      <c r="AC12" s="136">
        <f t="shared" si="10"/>
      </c>
      <c r="AD12" s="136" t="str">
        <f t="shared" si="11"/>
        <v>2歳誕生月</v>
      </c>
    </row>
    <row r="13" spans="2:30" ht="16.5" customHeight="1" thickBot="1">
      <c r="B13" s="602"/>
      <c r="C13" s="131" t="s">
        <v>321</v>
      </c>
      <c r="D13" s="129"/>
      <c r="F13" s="210">
        <f t="shared" si="12"/>
        <v>8</v>
      </c>
      <c r="G13" s="28">
        <f t="shared" si="1"/>
        <v>44135</v>
      </c>
      <c r="H13" s="29">
        <f t="shared" si="2"/>
        <v>44135</v>
      </c>
      <c r="I13" s="22">
        <f t="shared" si="19"/>
        <v>50000</v>
      </c>
      <c r="J13" s="30">
        <f t="shared" si="13"/>
        <v>44135</v>
      </c>
      <c r="K13" s="23">
        <f t="shared" si="20"/>
      </c>
      <c r="L13" s="29">
        <f t="shared" si="14"/>
        <v>44135</v>
      </c>
      <c r="M13" s="22">
        <f t="shared" si="15"/>
        <v>50000</v>
      </c>
      <c r="N13" s="23">
        <f t="shared" si="21"/>
      </c>
      <c r="O13" s="29">
        <f t="shared" si="3"/>
        <v>44135</v>
      </c>
      <c r="P13" s="22">
        <f t="shared" si="16"/>
        <v>50000</v>
      </c>
      <c r="Q13" s="23">
        <f t="shared" si="17"/>
      </c>
      <c r="R13" s="24">
        <f t="shared" si="18"/>
        <v>150000</v>
      </c>
      <c r="S13" s="211">
        <f t="shared" si="4"/>
        <v>2020</v>
      </c>
      <c r="T13" s="39"/>
      <c r="V13" s="25">
        <f t="shared" si="5"/>
        <v>9</v>
      </c>
      <c r="W13" s="26">
        <f t="shared" si="0"/>
        <v>44165</v>
      </c>
      <c r="X13" s="144">
        <f t="shared" si="6"/>
        <v>2020</v>
      </c>
      <c r="Y13" s="22">
        <f t="shared" si="7"/>
        <v>40000</v>
      </c>
      <c r="Z13" s="132">
        <f t="shared" si="8"/>
        <v>3640000</v>
      </c>
      <c r="AA13" s="135"/>
      <c r="AB13" s="136">
        <f t="shared" si="9"/>
      </c>
      <c r="AC13" s="136">
        <f t="shared" si="10"/>
      </c>
      <c r="AD13" s="136">
        <f t="shared" si="11"/>
      </c>
    </row>
    <row r="14" spans="2:30" ht="16.5" customHeight="1">
      <c r="B14" s="603" t="str">
        <f>B5&amp;"小学校入学"</f>
        <v>１人目小学校入学</v>
      </c>
      <c r="C14" s="604"/>
      <c r="D14" s="35">
        <f>DATE(YEAR(D6)+6,IF(MONTH(D6)&lt;4,4,16),2)</f>
        <v>42462</v>
      </c>
      <c r="F14" s="210">
        <f t="shared" si="12"/>
        <v>9</v>
      </c>
      <c r="G14" s="28">
        <f t="shared" si="1"/>
        <v>44165</v>
      </c>
      <c r="H14" s="29">
        <f t="shared" si="2"/>
        <v>44165</v>
      </c>
      <c r="I14" s="22">
        <f t="shared" si="19"/>
        <v>50000</v>
      </c>
      <c r="J14" s="30">
        <f t="shared" si="13"/>
        <v>44165</v>
      </c>
      <c r="K14" s="23">
        <f t="shared" si="20"/>
      </c>
      <c r="L14" s="29">
        <f t="shared" si="14"/>
        <v>44165</v>
      </c>
      <c r="M14" s="22">
        <f t="shared" si="15"/>
        <v>50000</v>
      </c>
      <c r="N14" s="23">
        <f t="shared" si="21"/>
      </c>
      <c r="O14" s="29">
        <f t="shared" si="3"/>
        <v>44165</v>
      </c>
      <c r="P14" s="22">
        <f t="shared" si="16"/>
        <v>50000</v>
      </c>
      <c r="Q14" s="23">
        <f t="shared" si="17"/>
      </c>
      <c r="R14" s="24">
        <f t="shared" si="18"/>
        <v>150000</v>
      </c>
      <c r="S14" s="211">
        <f t="shared" si="4"/>
        <v>2020</v>
      </c>
      <c r="T14" s="39"/>
      <c r="V14" s="25">
        <f t="shared" si="5"/>
        <v>10</v>
      </c>
      <c r="W14" s="26">
        <f t="shared" si="0"/>
        <v>44196</v>
      </c>
      <c r="X14" s="144">
        <f t="shared" si="6"/>
        <v>2020</v>
      </c>
      <c r="Y14" s="22">
        <f t="shared" si="7"/>
        <v>40000</v>
      </c>
      <c r="Z14" s="132">
        <f t="shared" si="8"/>
        <v>3600000</v>
      </c>
      <c r="AA14" s="135"/>
      <c r="AB14" s="136">
        <f t="shared" si="9"/>
      </c>
      <c r="AC14" s="136">
        <f t="shared" si="10"/>
      </c>
      <c r="AD14" s="136">
        <f t="shared" si="11"/>
      </c>
    </row>
    <row r="15" spans="2:30" ht="16.5" customHeight="1">
      <c r="B15" s="605" t="str">
        <f>B5&amp;"中学卒業"</f>
        <v>１人目中学卒業</v>
      </c>
      <c r="C15" s="606"/>
      <c r="D15" s="36">
        <f>DATE(YEAR(D14)+9,3,31)</f>
        <v>45747</v>
      </c>
      <c r="F15" s="210">
        <f t="shared" si="12"/>
        <v>10</v>
      </c>
      <c r="G15" s="28">
        <f t="shared" si="1"/>
        <v>44196</v>
      </c>
      <c r="H15" s="29">
        <f t="shared" si="2"/>
        <v>44196</v>
      </c>
      <c r="I15" s="22">
        <f t="shared" si="19"/>
        <v>50000</v>
      </c>
      <c r="J15" s="30">
        <f t="shared" si="13"/>
        <v>44196</v>
      </c>
      <c r="K15" s="23">
        <f t="shared" si="20"/>
      </c>
      <c r="L15" s="29">
        <f t="shared" si="14"/>
        <v>44196</v>
      </c>
      <c r="M15" s="22">
        <f t="shared" si="15"/>
        <v>50000</v>
      </c>
      <c r="N15" s="23">
        <f t="shared" si="21"/>
      </c>
      <c r="O15" s="29">
        <f t="shared" si="3"/>
        <v>44196</v>
      </c>
      <c r="P15" s="22">
        <f t="shared" si="16"/>
        <v>50000</v>
      </c>
      <c r="Q15" s="23">
        <f t="shared" si="17"/>
      </c>
      <c r="R15" s="24">
        <f t="shared" si="18"/>
        <v>150000</v>
      </c>
      <c r="S15" s="211">
        <f t="shared" si="4"/>
        <v>2020</v>
      </c>
      <c r="T15" s="39"/>
      <c r="V15" s="25">
        <f t="shared" si="5"/>
        <v>11</v>
      </c>
      <c r="W15" s="26">
        <f t="shared" si="0"/>
        <v>44227</v>
      </c>
      <c r="X15" s="144">
        <f t="shared" si="6"/>
        <v>2021</v>
      </c>
      <c r="Y15" s="22">
        <f t="shared" si="7"/>
        <v>40000</v>
      </c>
      <c r="Z15" s="132">
        <f t="shared" si="8"/>
        <v>3560000</v>
      </c>
      <c r="AA15" s="135"/>
      <c r="AB15" s="136">
        <f t="shared" si="9"/>
      </c>
      <c r="AC15" s="136">
        <f t="shared" si="10"/>
      </c>
      <c r="AD15" s="136">
        <f t="shared" si="11"/>
      </c>
    </row>
    <row r="16" spans="2:30" ht="16.5" customHeight="1">
      <c r="B16" s="605" t="str">
        <f>B5&amp;"高校卒業"</f>
        <v>１人目高校卒業</v>
      </c>
      <c r="C16" s="606"/>
      <c r="D16" s="36">
        <f>DATE(YEAR(D15)+3,3,31)</f>
        <v>46843</v>
      </c>
      <c r="F16" s="210">
        <f t="shared" si="12"/>
        <v>11</v>
      </c>
      <c r="G16" s="28">
        <f t="shared" si="1"/>
        <v>44227</v>
      </c>
      <c r="H16" s="29">
        <f t="shared" si="2"/>
        <v>44227</v>
      </c>
      <c r="I16" s="22">
        <f t="shared" si="19"/>
        <v>50000</v>
      </c>
      <c r="J16" s="30">
        <f t="shared" si="13"/>
        <v>44227</v>
      </c>
      <c r="K16" s="23">
        <f t="shared" si="20"/>
      </c>
      <c r="L16" s="29">
        <f t="shared" si="14"/>
        <v>44227</v>
      </c>
      <c r="M16" s="22">
        <f t="shared" si="15"/>
        <v>50000</v>
      </c>
      <c r="N16" s="23">
        <f t="shared" si="21"/>
      </c>
      <c r="O16" s="29">
        <f t="shared" si="3"/>
        <v>44227</v>
      </c>
      <c r="P16" s="22">
        <f t="shared" si="16"/>
        <v>50000</v>
      </c>
      <c r="Q16" s="23">
        <f t="shared" si="17"/>
      </c>
      <c r="R16" s="24">
        <f t="shared" si="18"/>
        <v>150000</v>
      </c>
      <c r="S16" s="211">
        <f t="shared" si="4"/>
        <v>2021</v>
      </c>
      <c r="T16" s="39"/>
      <c r="V16" s="25">
        <f t="shared" si="5"/>
        <v>12</v>
      </c>
      <c r="W16" s="26">
        <f t="shared" si="0"/>
        <v>44255</v>
      </c>
      <c r="X16" s="144">
        <f t="shared" si="6"/>
        <v>2021</v>
      </c>
      <c r="Y16" s="22">
        <f t="shared" si="7"/>
        <v>40000</v>
      </c>
      <c r="Z16" s="132">
        <f t="shared" si="8"/>
        <v>3520000</v>
      </c>
      <c r="AA16" s="135"/>
      <c r="AB16" s="136">
        <f t="shared" si="9"/>
      </c>
      <c r="AC16" s="136">
        <f t="shared" si="10"/>
      </c>
      <c r="AD16" s="136">
        <f t="shared" si="11"/>
      </c>
    </row>
    <row r="17" spans="2:30" ht="16.5" customHeight="1" thickBot="1">
      <c r="B17" s="589" t="str">
        <f>B5&amp;"短大卒業"</f>
        <v>１人目短大卒業</v>
      </c>
      <c r="C17" s="590"/>
      <c r="D17" s="36">
        <f>DATE(YEAR(D16)+2,3,31)</f>
        <v>47573</v>
      </c>
      <c r="F17" s="210">
        <f t="shared" si="12"/>
        <v>12</v>
      </c>
      <c r="G17" s="28">
        <f t="shared" si="1"/>
        <v>44255</v>
      </c>
      <c r="H17" s="29">
        <f t="shared" si="2"/>
        <v>44255</v>
      </c>
      <c r="I17" s="22">
        <f t="shared" si="19"/>
        <v>50000</v>
      </c>
      <c r="J17" s="30">
        <f t="shared" si="13"/>
        <v>44255</v>
      </c>
      <c r="K17" s="23">
        <f t="shared" si="20"/>
      </c>
      <c r="L17" s="29">
        <f t="shared" si="14"/>
        <v>44255</v>
      </c>
      <c r="M17" s="22">
        <f t="shared" si="15"/>
        <v>50000</v>
      </c>
      <c r="N17" s="23">
        <f t="shared" si="21"/>
      </c>
      <c r="O17" s="29">
        <f t="shared" si="3"/>
        <v>44255</v>
      </c>
      <c r="P17" s="22">
        <f t="shared" si="16"/>
        <v>50000</v>
      </c>
      <c r="Q17" s="23">
        <f t="shared" si="17"/>
      </c>
      <c r="R17" s="24">
        <f t="shared" si="18"/>
        <v>150000</v>
      </c>
      <c r="S17" s="211">
        <f t="shared" si="4"/>
        <v>2021</v>
      </c>
      <c r="T17" s="39"/>
      <c r="V17" s="25">
        <f t="shared" si="5"/>
        <v>13</v>
      </c>
      <c r="W17" s="26">
        <f t="shared" si="0"/>
        <v>44286</v>
      </c>
      <c r="X17" s="144">
        <f t="shared" si="6"/>
        <v>2021</v>
      </c>
      <c r="Y17" s="22">
        <f t="shared" si="7"/>
        <v>40000</v>
      </c>
      <c r="Z17" s="132">
        <f t="shared" si="8"/>
        <v>3480000</v>
      </c>
      <c r="AA17" s="135"/>
      <c r="AB17" s="136">
        <f t="shared" si="9"/>
      </c>
      <c r="AC17" s="136">
        <f t="shared" si="10"/>
      </c>
      <c r="AD17" s="136">
        <f t="shared" si="11"/>
      </c>
    </row>
    <row r="18" spans="2:30" ht="16.5" customHeight="1" thickBot="1">
      <c r="B18" s="591" t="str">
        <f>B5&amp;"大学卒業"</f>
        <v>１人目大学卒業</v>
      </c>
      <c r="C18" s="592"/>
      <c r="D18" s="37">
        <f>DATE(YEAR(D16)+4,3,31)</f>
        <v>48304</v>
      </c>
      <c r="F18" s="210">
        <f t="shared" si="12"/>
        <v>13</v>
      </c>
      <c r="G18" s="28">
        <f t="shared" si="1"/>
        <v>44286</v>
      </c>
      <c r="H18" s="29">
        <f t="shared" si="2"/>
        <v>44286</v>
      </c>
      <c r="I18" s="22">
        <f t="shared" si="19"/>
        <v>50000</v>
      </c>
      <c r="J18" s="30">
        <f t="shared" si="13"/>
        <v>44286</v>
      </c>
      <c r="K18" s="23">
        <f t="shared" si="20"/>
      </c>
      <c r="L18" s="29">
        <f t="shared" si="14"/>
        <v>44286</v>
      </c>
      <c r="M18" s="22">
        <f t="shared" si="15"/>
        <v>50000</v>
      </c>
      <c r="N18" s="23">
        <f t="shared" si="21"/>
      </c>
      <c r="O18" s="29">
        <f t="shared" si="3"/>
        <v>44286</v>
      </c>
      <c r="P18" s="22">
        <f t="shared" si="16"/>
        <v>50000</v>
      </c>
      <c r="Q18" s="23">
        <f t="shared" si="17"/>
      </c>
      <c r="R18" s="24">
        <f t="shared" si="18"/>
        <v>150000</v>
      </c>
      <c r="S18" s="211">
        <f t="shared" si="4"/>
        <v>2021</v>
      </c>
      <c r="T18" s="39"/>
      <c r="V18" s="25">
        <f t="shared" si="5"/>
        <v>14</v>
      </c>
      <c r="W18" s="26">
        <f t="shared" si="0"/>
        <v>44316</v>
      </c>
      <c r="X18" s="144">
        <f t="shared" si="6"/>
        <v>2021</v>
      </c>
      <c r="Y18" s="22">
        <f t="shared" si="7"/>
        <v>40000</v>
      </c>
      <c r="Z18" s="132">
        <f t="shared" si="8"/>
        <v>3440000</v>
      </c>
      <c r="AA18" s="135"/>
      <c r="AB18" s="136">
        <f t="shared" si="9"/>
      </c>
      <c r="AC18" s="136">
        <f t="shared" si="10"/>
      </c>
      <c r="AD18" s="136">
        <f t="shared" si="11"/>
      </c>
    </row>
    <row r="19" spans="2:30" ht="16.5" customHeight="1" thickBot="1" thickTop="1">
      <c r="B19" s="593" t="str">
        <f>B5&amp;"成人"</f>
        <v>１人目成人</v>
      </c>
      <c r="C19" s="594"/>
      <c r="D19" s="38">
        <f>DATE(YEAR(D6)+20,MONTH(D6),DAY(D6))</f>
        <v>47290</v>
      </c>
      <c r="F19" s="210">
        <f t="shared" si="12"/>
        <v>14</v>
      </c>
      <c r="G19" s="28">
        <f t="shared" si="1"/>
        <v>44316</v>
      </c>
      <c r="H19" s="29">
        <f t="shared" si="2"/>
        <v>44316</v>
      </c>
      <c r="I19" s="22">
        <f t="shared" si="19"/>
        <v>50000</v>
      </c>
      <c r="J19" s="30">
        <f t="shared" si="13"/>
        <v>44316</v>
      </c>
      <c r="K19" s="23">
        <f t="shared" si="20"/>
      </c>
      <c r="L19" s="29">
        <f t="shared" si="14"/>
        <v>44316</v>
      </c>
      <c r="M19" s="22">
        <f t="shared" si="15"/>
        <v>50000</v>
      </c>
      <c r="N19" s="23">
        <f t="shared" si="21"/>
      </c>
      <c r="O19" s="29">
        <f t="shared" si="3"/>
        <v>44316</v>
      </c>
      <c r="P19" s="22">
        <f t="shared" si="16"/>
        <v>50000</v>
      </c>
      <c r="Q19" s="23">
        <f t="shared" si="17"/>
      </c>
      <c r="R19" s="24">
        <f t="shared" si="18"/>
        <v>150000</v>
      </c>
      <c r="S19" s="211">
        <f t="shared" si="4"/>
        <v>2021</v>
      </c>
      <c r="T19" s="39"/>
      <c r="V19" s="25">
        <f t="shared" si="5"/>
        <v>15</v>
      </c>
      <c r="W19" s="26">
        <f t="shared" si="0"/>
        <v>44347</v>
      </c>
      <c r="X19" s="144">
        <f t="shared" si="6"/>
        <v>2021</v>
      </c>
      <c r="Y19" s="22">
        <f t="shared" si="7"/>
        <v>40000</v>
      </c>
      <c r="Z19" s="132">
        <f t="shared" si="8"/>
        <v>3400000</v>
      </c>
      <c r="AA19" s="135"/>
      <c r="AB19" s="136">
        <f t="shared" si="9"/>
      </c>
      <c r="AC19" s="136">
        <f t="shared" si="10"/>
      </c>
      <c r="AD19" s="136">
        <f t="shared" si="11"/>
      </c>
    </row>
    <row r="20" spans="6:30" ht="16.5" customHeight="1" thickBot="1">
      <c r="F20" s="210">
        <f t="shared" si="12"/>
        <v>15</v>
      </c>
      <c r="G20" s="28">
        <f t="shared" si="1"/>
        <v>44347</v>
      </c>
      <c r="H20" s="29">
        <f t="shared" si="2"/>
        <v>44347</v>
      </c>
      <c r="I20" s="22">
        <f t="shared" si="19"/>
        <v>50000</v>
      </c>
      <c r="J20" s="30">
        <f t="shared" si="13"/>
        <v>44347</v>
      </c>
      <c r="K20" s="23">
        <f t="shared" si="20"/>
      </c>
      <c r="L20" s="29">
        <f t="shared" si="14"/>
        <v>44347</v>
      </c>
      <c r="M20" s="22">
        <f t="shared" si="15"/>
        <v>50000</v>
      </c>
      <c r="N20" s="23" t="str">
        <f t="shared" si="21"/>
        <v>8歳誕生月</v>
      </c>
      <c r="O20" s="29">
        <f t="shared" si="3"/>
        <v>44347</v>
      </c>
      <c r="P20" s="22">
        <f t="shared" si="16"/>
        <v>50000</v>
      </c>
      <c r="Q20" s="23">
        <f t="shared" si="17"/>
      </c>
      <c r="R20" s="24">
        <f t="shared" si="18"/>
        <v>150000</v>
      </c>
      <c r="S20" s="211">
        <f t="shared" si="4"/>
        <v>2021</v>
      </c>
      <c r="T20" s="39"/>
      <c r="V20" s="25">
        <f t="shared" si="5"/>
        <v>16</v>
      </c>
      <c r="W20" s="26">
        <f t="shared" si="0"/>
        <v>44377</v>
      </c>
      <c r="X20" s="144">
        <f t="shared" si="6"/>
        <v>2021</v>
      </c>
      <c r="Y20" s="22">
        <f t="shared" si="7"/>
        <v>40000</v>
      </c>
      <c r="Z20" s="132">
        <f t="shared" si="8"/>
        <v>3360000</v>
      </c>
      <c r="AA20" s="135"/>
      <c r="AB20" s="136">
        <f t="shared" si="9"/>
      </c>
      <c r="AC20" s="136" t="str">
        <f t="shared" si="10"/>
        <v>8歳誕生月</v>
      </c>
      <c r="AD20" s="136">
        <f t="shared" si="11"/>
      </c>
    </row>
    <row r="21" spans="2:30" ht="16.5" customHeight="1" thickBot="1">
      <c r="B21" s="607" t="s">
        <v>428</v>
      </c>
      <c r="C21" s="608"/>
      <c r="D21" s="609"/>
      <c r="F21" s="210">
        <f t="shared" si="12"/>
        <v>16</v>
      </c>
      <c r="G21" s="28">
        <f t="shared" si="1"/>
        <v>44377</v>
      </c>
      <c r="H21" s="29">
        <f t="shared" si="2"/>
        <v>44377</v>
      </c>
      <c r="I21" s="22">
        <f t="shared" si="19"/>
        <v>50000</v>
      </c>
      <c r="J21" s="30">
        <f t="shared" si="13"/>
        <v>44377</v>
      </c>
      <c r="K21" s="23" t="str">
        <f t="shared" si="20"/>
        <v>12歳誕生月</v>
      </c>
      <c r="L21" s="29">
        <f t="shared" si="14"/>
        <v>44377</v>
      </c>
      <c r="M21" s="22">
        <f t="shared" si="15"/>
        <v>50000</v>
      </c>
      <c r="N21" s="23">
        <f t="shared" si="21"/>
      </c>
      <c r="O21" s="29">
        <f t="shared" si="3"/>
        <v>44377</v>
      </c>
      <c r="P21" s="22">
        <f t="shared" si="16"/>
        <v>50000</v>
      </c>
      <c r="Q21" s="23">
        <f t="shared" si="17"/>
      </c>
      <c r="R21" s="24">
        <f t="shared" si="18"/>
        <v>150000</v>
      </c>
      <c r="S21" s="211">
        <f t="shared" si="4"/>
        <v>2021</v>
      </c>
      <c r="T21" s="39"/>
      <c r="V21" s="25">
        <f t="shared" si="5"/>
        <v>17</v>
      </c>
      <c r="W21" s="26">
        <f t="shared" si="0"/>
        <v>44408</v>
      </c>
      <c r="X21" s="144">
        <f t="shared" si="6"/>
        <v>2021</v>
      </c>
      <c r="Y21" s="22">
        <f t="shared" si="7"/>
        <v>40000</v>
      </c>
      <c r="Z21" s="132">
        <f t="shared" si="8"/>
        <v>3320000</v>
      </c>
      <c r="AA21" s="135"/>
      <c r="AB21" s="136" t="str">
        <f t="shared" si="9"/>
        <v>12歳誕生月</v>
      </c>
      <c r="AC21" s="136">
        <f t="shared" si="10"/>
      </c>
      <c r="AD21" s="136">
        <f t="shared" si="11"/>
      </c>
    </row>
    <row r="22" spans="2:30" ht="16.5" customHeight="1" thickBot="1">
      <c r="B22" s="610" t="s">
        <v>122</v>
      </c>
      <c r="C22" s="611"/>
      <c r="D22" s="27">
        <v>41405</v>
      </c>
      <c r="F22" s="210">
        <f t="shared" si="12"/>
        <v>17</v>
      </c>
      <c r="G22" s="28">
        <f t="shared" si="1"/>
        <v>44408</v>
      </c>
      <c r="H22" s="29">
        <f t="shared" si="2"/>
        <v>44408</v>
      </c>
      <c r="I22" s="22">
        <f t="shared" si="19"/>
        <v>50000</v>
      </c>
      <c r="J22" s="30">
        <f t="shared" si="13"/>
        <v>44408</v>
      </c>
      <c r="K22" s="23">
        <f t="shared" si="20"/>
      </c>
      <c r="L22" s="29">
        <f t="shared" si="14"/>
        <v>44408</v>
      </c>
      <c r="M22" s="22">
        <f t="shared" si="15"/>
        <v>50000</v>
      </c>
      <c r="N22" s="23">
        <f t="shared" si="21"/>
      </c>
      <c r="O22" s="29">
        <f t="shared" si="3"/>
        <v>44408</v>
      </c>
      <c r="P22" s="22">
        <f t="shared" si="16"/>
        <v>50000</v>
      </c>
      <c r="Q22" s="23">
        <f t="shared" si="17"/>
      </c>
      <c r="R22" s="24">
        <f t="shared" si="18"/>
        <v>150000</v>
      </c>
      <c r="S22" s="211">
        <f t="shared" si="4"/>
        <v>2021</v>
      </c>
      <c r="T22" s="39"/>
      <c r="V22" s="25">
        <f t="shared" si="5"/>
        <v>18</v>
      </c>
      <c r="W22" s="26">
        <f t="shared" si="0"/>
        <v>44439</v>
      </c>
      <c r="X22" s="144">
        <f t="shared" si="6"/>
        <v>2021</v>
      </c>
      <c r="Y22" s="22">
        <f t="shared" si="7"/>
        <v>40000</v>
      </c>
      <c r="Z22" s="132">
        <f t="shared" si="8"/>
        <v>3280000</v>
      </c>
      <c r="AA22" s="135"/>
      <c r="AB22" s="136">
        <f t="shared" si="9"/>
      </c>
      <c r="AC22" s="136">
        <f t="shared" si="10"/>
      </c>
      <c r="AD22" s="136">
        <f t="shared" si="11"/>
      </c>
    </row>
    <row r="23" spans="2:30" ht="16.5" customHeight="1">
      <c r="B23" s="612" t="s">
        <v>424</v>
      </c>
      <c r="C23" s="613"/>
      <c r="D23" s="31">
        <v>43921</v>
      </c>
      <c r="F23" s="210">
        <f t="shared" si="12"/>
        <v>18</v>
      </c>
      <c r="G23" s="28">
        <f t="shared" si="1"/>
        <v>44439</v>
      </c>
      <c r="H23" s="29">
        <f t="shared" si="2"/>
        <v>44439</v>
      </c>
      <c r="I23" s="22">
        <f t="shared" si="19"/>
        <v>50000</v>
      </c>
      <c r="J23" s="30">
        <f t="shared" si="13"/>
        <v>44439</v>
      </c>
      <c r="K23" s="23">
        <f t="shared" si="20"/>
      </c>
      <c r="L23" s="29">
        <f t="shared" si="14"/>
        <v>44439</v>
      </c>
      <c r="M23" s="22">
        <f t="shared" si="15"/>
        <v>50000</v>
      </c>
      <c r="N23" s="23">
        <f t="shared" si="21"/>
      </c>
      <c r="O23" s="29">
        <f t="shared" si="3"/>
        <v>44439</v>
      </c>
      <c r="P23" s="22">
        <f t="shared" si="16"/>
        <v>50000</v>
      </c>
      <c r="Q23" s="23">
        <f t="shared" si="17"/>
      </c>
      <c r="R23" s="24">
        <f t="shared" si="18"/>
        <v>150000</v>
      </c>
      <c r="S23" s="211">
        <f t="shared" si="4"/>
        <v>2021</v>
      </c>
      <c r="T23" s="39"/>
      <c r="V23" s="25">
        <f t="shared" si="5"/>
        <v>19</v>
      </c>
      <c r="W23" s="26">
        <f t="shared" si="0"/>
        <v>44469</v>
      </c>
      <c r="X23" s="144">
        <f t="shared" si="6"/>
        <v>2021</v>
      </c>
      <c r="Y23" s="22">
        <f t="shared" si="7"/>
        <v>40000</v>
      </c>
      <c r="Z23" s="132">
        <f t="shared" si="8"/>
        <v>3240000</v>
      </c>
      <c r="AA23" s="135"/>
      <c r="AB23" s="136">
        <f t="shared" si="9"/>
      </c>
      <c r="AC23" s="136">
        <f t="shared" si="10"/>
      </c>
      <c r="AD23" s="136">
        <f t="shared" si="11"/>
      </c>
    </row>
    <row r="24" spans="2:30" ht="16.5" customHeight="1">
      <c r="B24" s="595" t="s">
        <v>414</v>
      </c>
      <c r="C24" s="596"/>
      <c r="D24" s="32">
        <v>50000</v>
      </c>
      <c r="F24" s="210">
        <f t="shared" si="12"/>
        <v>19</v>
      </c>
      <c r="G24" s="28">
        <f t="shared" si="1"/>
        <v>44469</v>
      </c>
      <c r="H24" s="29">
        <f t="shared" si="2"/>
        <v>44469</v>
      </c>
      <c r="I24" s="22">
        <f t="shared" si="19"/>
        <v>50000</v>
      </c>
      <c r="J24" s="30">
        <f t="shared" si="13"/>
        <v>44469</v>
      </c>
      <c r="K24" s="23">
        <f t="shared" si="20"/>
      </c>
      <c r="L24" s="29">
        <f t="shared" si="14"/>
        <v>44469</v>
      </c>
      <c r="M24" s="22">
        <f t="shared" si="15"/>
        <v>50000</v>
      </c>
      <c r="N24" s="23">
        <f t="shared" si="21"/>
      </c>
      <c r="O24" s="29">
        <f t="shared" si="3"/>
        <v>44469</v>
      </c>
      <c r="P24" s="22">
        <f t="shared" si="16"/>
        <v>50000</v>
      </c>
      <c r="Q24" s="23" t="str">
        <f t="shared" si="17"/>
        <v>3歳誕生月</v>
      </c>
      <c r="R24" s="24">
        <f t="shared" si="18"/>
        <v>150000</v>
      </c>
      <c r="S24" s="211">
        <f t="shared" si="4"/>
        <v>2021</v>
      </c>
      <c r="T24" s="39"/>
      <c r="V24" s="25">
        <f t="shared" si="5"/>
        <v>20</v>
      </c>
      <c r="W24" s="26">
        <f t="shared" si="0"/>
        <v>44500</v>
      </c>
      <c r="X24" s="144">
        <f t="shared" si="6"/>
        <v>2021</v>
      </c>
      <c r="Y24" s="22">
        <f t="shared" si="7"/>
        <v>40000</v>
      </c>
      <c r="Z24" s="132">
        <f t="shared" si="8"/>
        <v>3200000</v>
      </c>
      <c r="AA24" s="135"/>
      <c r="AB24" s="136">
        <f t="shared" si="9"/>
      </c>
      <c r="AC24" s="136">
        <f t="shared" si="10"/>
      </c>
      <c r="AD24" s="136" t="str">
        <f t="shared" si="11"/>
        <v>3歳誕生月</v>
      </c>
    </row>
    <row r="25" spans="2:30" ht="16.5" customHeight="1">
      <c r="B25" s="595" t="s">
        <v>425</v>
      </c>
      <c r="C25" s="596"/>
      <c r="D25" s="33" t="s">
        <v>322</v>
      </c>
      <c r="F25" s="210">
        <f t="shared" si="12"/>
        <v>20</v>
      </c>
      <c r="G25" s="28">
        <f t="shared" si="1"/>
        <v>44500</v>
      </c>
      <c r="H25" s="29">
        <f t="shared" si="2"/>
        <v>44500</v>
      </c>
      <c r="I25" s="22">
        <f t="shared" si="19"/>
        <v>50000</v>
      </c>
      <c r="J25" s="30">
        <f t="shared" si="13"/>
        <v>44500</v>
      </c>
      <c r="K25" s="23">
        <f t="shared" si="20"/>
      </c>
      <c r="L25" s="29">
        <f t="shared" si="14"/>
        <v>44500</v>
      </c>
      <c r="M25" s="22">
        <f t="shared" si="15"/>
        <v>50000</v>
      </c>
      <c r="N25" s="23">
        <f t="shared" si="21"/>
      </c>
      <c r="O25" s="29">
        <f t="shared" si="3"/>
        <v>44500</v>
      </c>
      <c r="P25" s="22">
        <f t="shared" si="16"/>
        <v>50000</v>
      </c>
      <c r="Q25" s="23">
        <f t="shared" si="17"/>
      </c>
      <c r="R25" s="24">
        <f t="shared" si="18"/>
        <v>150000</v>
      </c>
      <c r="S25" s="211">
        <f t="shared" si="4"/>
        <v>2021</v>
      </c>
      <c r="T25" s="39"/>
      <c r="V25" s="25">
        <f t="shared" si="5"/>
        <v>21</v>
      </c>
      <c r="W25" s="26">
        <f t="shared" si="0"/>
        <v>44530</v>
      </c>
      <c r="X25" s="144">
        <f t="shared" si="6"/>
        <v>2021</v>
      </c>
      <c r="Y25" s="22">
        <f t="shared" si="7"/>
        <v>40000</v>
      </c>
      <c r="Z25" s="132">
        <f t="shared" si="8"/>
        <v>3160000</v>
      </c>
      <c r="AA25" s="135"/>
      <c r="AB25" s="136">
        <f t="shared" si="9"/>
      </c>
      <c r="AC25" s="136">
        <f t="shared" si="10"/>
      </c>
      <c r="AD25" s="136">
        <f t="shared" si="11"/>
      </c>
    </row>
    <row r="26" spans="2:30" ht="16.5" customHeight="1">
      <c r="B26" s="597" t="s">
        <v>426</v>
      </c>
      <c r="C26" s="598"/>
      <c r="D26" s="34" t="s">
        <v>429</v>
      </c>
      <c r="F26" s="210">
        <f t="shared" si="12"/>
        <v>21</v>
      </c>
      <c r="G26" s="28">
        <f t="shared" si="1"/>
        <v>44530</v>
      </c>
      <c r="H26" s="29">
        <f t="shared" si="2"/>
        <v>44530</v>
      </c>
      <c r="I26" s="22">
        <f t="shared" si="19"/>
        <v>50000</v>
      </c>
      <c r="J26" s="30">
        <f t="shared" si="13"/>
        <v>44530</v>
      </c>
      <c r="K26" s="23">
        <f t="shared" si="20"/>
      </c>
      <c r="L26" s="29">
        <f t="shared" si="14"/>
        <v>44530</v>
      </c>
      <c r="M26" s="22">
        <f t="shared" si="15"/>
        <v>50000</v>
      </c>
      <c r="N26" s="23">
        <f t="shared" si="21"/>
      </c>
      <c r="O26" s="29">
        <f t="shared" si="3"/>
        <v>44530</v>
      </c>
      <c r="P26" s="22">
        <f t="shared" si="16"/>
        <v>50000</v>
      </c>
      <c r="Q26" s="23">
        <f t="shared" si="17"/>
      </c>
      <c r="R26" s="24">
        <f t="shared" si="18"/>
        <v>150000</v>
      </c>
      <c r="S26" s="211">
        <f t="shared" si="4"/>
        <v>2021</v>
      </c>
      <c r="T26" s="39"/>
      <c r="V26" s="25">
        <f t="shared" si="5"/>
        <v>22</v>
      </c>
      <c r="W26" s="26">
        <f t="shared" si="0"/>
        <v>44561</v>
      </c>
      <c r="X26" s="144">
        <f t="shared" si="6"/>
        <v>2021</v>
      </c>
      <c r="Y26" s="22">
        <f t="shared" si="7"/>
        <v>40000</v>
      </c>
      <c r="Z26" s="132">
        <f t="shared" si="8"/>
        <v>3120000</v>
      </c>
      <c r="AA26" s="135"/>
      <c r="AB26" s="136">
        <f t="shared" si="9"/>
      </c>
      <c r="AC26" s="136">
        <f t="shared" si="10"/>
      </c>
      <c r="AD26" s="136">
        <f t="shared" si="11"/>
      </c>
    </row>
    <row r="27" spans="2:30" ht="16.5" customHeight="1" thickBot="1">
      <c r="B27" s="599"/>
      <c r="C27" s="600"/>
      <c r="D27" s="137">
        <f>IF(D26="","",VLOOKUP(D26,B30:D35,3,0))</f>
        <v>48710</v>
      </c>
      <c r="F27" s="210">
        <f t="shared" si="12"/>
        <v>22</v>
      </c>
      <c r="G27" s="28">
        <f t="shared" si="1"/>
        <v>44561</v>
      </c>
      <c r="H27" s="29">
        <f t="shared" si="2"/>
        <v>44561</v>
      </c>
      <c r="I27" s="22">
        <f t="shared" si="19"/>
        <v>50000</v>
      </c>
      <c r="J27" s="30">
        <f t="shared" si="13"/>
        <v>44561</v>
      </c>
      <c r="K27" s="23">
        <f t="shared" si="20"/>
      </c>
      <c r="L27" s="29">
        <f t="shared" si="14"/>
        <v>44561</v>
      </c>
      <c r="M27" s="22">
        <f t="shared" si="15"/>
        <v>50000</v>
      </c>
      <c r="N27" s="23">
        <f t="shared" si="21"/>
      </c>
      <c r="O27" s="29">
        <f t="shared" si="3"/>
        <v>44561</v>
      </c>
      <c r="P27" s="22">
        <f t="shared" si="16"/>
        <v>50000</v>
      </c>
      <c r="Q27" s="23">
        <f t="shared" si="17"/>
      </c>
      <c r="R27" s="24">
        <f t="shared" si="18"/>
        <v>150000</v>
      </c>
      <c r="S27" s="211">
        <f t="shared" si="4"/>
        <v>2021</v>
      </c>
      <c r="T27" s="39"/>
      <c r="V27" s="25">
        <f t="shared" si="5"/>
        <v>23</v>
      </c>
      <c r="W27" s="26">
        <f t="shared" si="0"/>
        <v>44592</v>
      </c>
      <c r="X27" s="144">
        <f t="shared" si="6"/>
        <v>2022</v>
      </c>
      <c r="Y27" s="22">
        <f t="shared" si="7"/>
        <v>40000</v>
      </c>
      <c r="Z27" s="132">
        <f t="shared" si="8"/>
        <v>3080000</v>
      </c>
      <c r="AA27" s="135"/>
      <c r="AB27" s="136">
        <f t="shared" si="9"/>
      </c>
      <c r="AC27" s="136">
        <f t="shared" si="10"/>
      </c>
      <c r="AD27" s="136">
        <f t="shared" si="11"/>
      </c>
    </row>
    <row r="28" spans="2:30" ht="16.5" customHeight="1">
      <c r="B28" s="601" t="s">
        <v>319</v>
      </c>
      <c r="C28" s="130" t="s">
        <v>320</v>
      </c>
      <c r="D28" s="31"/>
      <c r="F28" s="210">
        <f t="shared" si="12"/>
        <v>23</v>
      </c>
      <c r="G28" s="28">
        <f t="shared" si="1"/>
        <v>44592</v>
      </c>
      <c r="H28" s="29">
        <f t="shared" si="2"/>
        <v>44592</v>
      </c>
      <c r="I28" s="22">
        <f t="shared" si="19"/>
        <v>50000</v>
      </c>
      <c r="J28" s="30">
        <f t="shared" si="13"/>
        <v>44592</v>
      </c>
      <c r="K28" s="23">
        <f t="shared" si="20"/>
      </c>
      <c r="L28" s="29">
        <f t="shared" si="14"/>
        <v>44592</v>
      </c>
      <c r="M28" s="22">
        <f t="shared" si="15"/>
        <v>50000</v>
      </c>
      <c r="N28" s="23">
        <f t="shared" si="21"/>
      </c>
      <c r="O28" s="29">
        <f t="shared" si="3"/>
        <v>44592</v>
      </c>
      <c r="P28" s="22">
        <f t="shared" si="16"/>
        <v>50000</v>
      </c>
      <c r="Q28" s="23">
        <f t="shared" si="17"/>
      </c>
      <c r="R28" s="24">
        <f t="shared" si="18"/>
        <v>150000</v>
      </c>
      <c r="S28" s="211">
        <f t="shared" si="4"/>
        <v>2022</v>
      </c>
      <c r="T28" s="39"/>
      <c r="V28" s="25">
        <f t="shared" si="5"/>
        <v>24</v>
      </c>
      <c r="W28" s="26">
        <f t="shared" si="0"/>
        <v>44620</v>
      </c>
      <c r="X28" s="144">
        <f t="shared" si="6"/>
        <v>2022</v>
      </c>
      <c r="Y28" s="22">
        <f t="shared" si="7"/>
        <v>40000</v>
      </c>
      <c r="Z28" s="132">
        <f t="shared" si="8"/>
        <v>3040000</v>
      </c>
      <c r="AA28" s="135"/>
      <c r="AB28" s="136">
        <f t="shared" si="9"/>
      </c>
      <c r="AC28" s="136">
        <f t="shared" si="10"/>
      </c>
      <c r="AD28" s="136">
        <f t="shared" si="11"/>
      </c>
    </row>
    <row r="29" spans="2:30" ht="16.5" customHeight="1" thickBot="1">
      <c r="B29" s="602"/>
      <c r="C29" s="131" t="s">
        <v>321</v>
      </c>
      <c r="D29" s="129"/>
      <c r="F29" s="210">
        <f t="shared" si="12"/>
        <v>24</v>
      </c>
      <c r="G29" s="28">
        <f t="shared" si="1"/>
        <v>44620</v>
      </c>
      <c r="H29" s="29">
        <f t="shared" si="2"/>
        <v>44620</v>
      </c>
      <c r="I29" s="22">
        <f t="shared" si="19"/>
        <v>50000</v>
      </c>
      <c r="J29" s="30">
        <f t="shared" si="13"/>
        <v>44620</v>
      </c>
      <c r="K29" s="23">
        <f t="shared" si="20"/>
      </c>
      <c r="L29" s="29">
        <f t="shared" si="14"/>
        <v>44620</v>
      </c>
      <c r="M29" s="22">
        <f t="shared" si="15"/>
        <v>50000</v>
      </c>
      <c r="N29" s="23">
        <f t="shared" si="21"/>
      </c>
      <c r="O29" s="29">
        <f t="shared" si="3"/>
        <v>44620</v>
      </c>
      <c r="P29" s="22">
        <f t="shared" si="16"/>
        <v>50000</v>
      </c>
      <c r="Q29" s="23">
        <f t="shared" si="17"/>
      </c>
      <c r="R29" s="24">
        <f t="shared" si="18"/>
        <v>150000</v>
      </c>
      <c r="S29" s="211">
        <f t="shared" si="4"/>
        <v>2022</v>
      </c>
      <c r="T29" s="39"/>
      <c r="V29" s="25">
        <f t="shared" si="5"/>
        <v>25</v>
      </c>
      <c r="W29" s="26">
        <f t="shared" si="0"/>
        <v>44651</v>
      </c>
      <c r="X29" s="144">
        <f t="shared" si="6"/>
        <v>2022</v>
      </c>
      <c r="Y29" s="22">
        <f t="shared" si="7"/>
        <v>40000</v>
      </c>
      <c r="Z29" s="132">
        <f t="shared" si="8"/>
        <v>3000000</v>
      </c>
      <c r="AA29" s="135"/>
      <c r="AB29" s="136">
        <f t="shared" si="9"/>
      </c>
      <c r="AC29" s="136">
        <f t="shared" si="10"/>
      </c>
      <c r="AD29" s="136">
        <f t="shared" si="11"/>
      </c>
    </row>
    <row r="30" spans="2:30" ht="16.5" customHeight="1">
      <c r="B30" s="603" t="str">
        <f>B21&amp;"小学校入学"</f>
        <v>２人目小学校入学</v>
      </c>
      <c r="C30" s="604"/>
      <c r="D30" s="35">
        <f>DATE(YEAR(D22)+6,IF(MONTH(D22)&lt;4,4,16),2)</f>
        <v>43923</v>
      </c>
      <c r="F30" s="210">
        <f t="shared" si="12"/>
        <v>25</v>
      </c>
      <c r="G30" s="28">
        <f t="shared" si="1"/>
        <v>44651</v>
      </c>
      <c r="H30" s="29">
        <f t="shared" si="2"/>
        <v>44651</v>
      </c>
      <c r="I30" s="22">
        <f t="shared" si="19"/>
        <v>50000</v>
      </c>
      <c r="J30" s="30">
        <f t="shared" si="13"/>
        <v>44651</v>
      </c>
      <c r="K30" s="23">
        <f t="shared" si="20"/>
      </c>
      <c r="L30" s="29">
        <f t="shared" si="14"/>
        <v>44651</v>
      </c>
      <c r="M30" s="22">
        <f t="shared" si="15"/>
        <v>50000</v>
      </c>
      <c r="N30" s="23">
        <f t="shared" si="21"/>
      </c>
      <c r="O30" s="29">
        <f t="shared" si="3"/>
        <v>44651</v>
      </c>
      <c r="P30" s="22">
        <f t="shared" si="16"/>
        <v>50000</v>
      </c>
      <c r="Q30" s="23">
        <f t="shared" si="17"/>
      </c>
      <c r="R30" s="24">
        <f t="shared" si="18"/>
        <v>150000</v>
      </c>
      <c r="S30" s="211">
        <f t="shared" si="4"/>
        <v>2022</v>
      </c>
      <c r="T30" s="39"/>
      <c r="V30" s="25">
        <f t="shared" si="5"/>
        <v>26</v>
      </c>
      <c r="W30" s="26">
        <f t="shared" si="0"/>
        <v>44681</v>
      </c>
      <c r="X30" s="144">
        <f t="shared" si="6"/>
        <v>2022</v>
      </c>
      <c r="Y30" s="22">
        <f t="shared" si="7"/>
        <v>40000</v>
      </c>
      <c r="Z30" s="132">
        <f t="shared" si="8"/>
        <v>2960000</v>
      </c>
      <c r="AA30" s="135"/>
      <c r="AB30" s="136">
        <f t="shared" si="9"/>
      </c>
      <c r="AC30" s="136">
        <f t="shared" si="10"/>
      </c>
      <c r="AD30" s="136">
        <f t="shared" si="11"/>
      </c>
    </row>
    <row r="31" spans="2:30" ht="16.5" customHeight="1">
      <c r="B31" s="605" t="str">
        <f>B21&amp;"中学卒業"</f>
        <v>２人目中学卒業</v>
      </c>
      <c r="C31" s="606"/>
      <c r="D31" s="36">
        <f>DATE(YEAR(D30)+9,3,31)</f>
        <v>47208</v>
      </c>
      <c r="F31" s="210">
        <f t="shared" si="12"/>
        <v>26</v>
      </c>
      <c r="G31" s="28">
        <f t="shared" si="1"/>
        <v>44681</v>
      </c>
      <c r="H31" s="29">
        <f t="shared" si="2"/>
        <v>44681</v>
      </c>
      <c r="I31" s="22">
        <f t="shared" si="19"/>
        <v>50000</v>
      </c>
      <c r="J31" s="30">
        <f t="shared" si="13"/>
        <v>44681</v>
      </c>
      <c r="K31" s="23">
        <f t="shared" si="20"/>
      </c>
      <c r="L31" s="29">
        <f t="shared" si="14"/>
        <v>44681</v>
      </c>
      <c r="M31" s="22">
        <f t="shared" si="15"/>
        <v>50000</v>
      </c>
      <c r="N31" s="23">
        <f t="shared" si="21"/>
      </c>
      <c r="O31" s="29">
        <f t="shared" si="3"/>
        <v>44681</v>
      </c>
      <c r="P31" s="22">
        <f t="shared" si="16"/>
        <v>50000</v>
      </c>
      <c r="Q31" s="23">
        <f t="shared" si="17"/>
      </c>
      <c r="R31" s="24">
        <f t="shared" si="18"/>
        <v>150000</v>
      </c>
      <c r="S31" s="211">
        <f t="shared" si="4"/>
        <v>2022</v>
      </c>
      <c r="T31" s="39"/>
      <c r="V31" s="25">
        <f t="shared" si="5"/>
        <v>27</v>
      </c>
      <c r="W31" s="26">
        <f t="shared" si="0"/>
        <v>44712</v>
      </c>
      <c r="X31" s="144">
        <f t="shared" si="6"/>
        <v>2022</v>
      </c>
      <c r="Y31" s="22">
        <f t="shared" si="7"/>
        <v>40000</v>
      </c>
      <c r="Z31" s="132">
        <f t="shared" si="8"/>
        <v>2920000</v>
      </c>
      <c r="AA31" s="135"/>
      <c r="AB31" s="136">
        <f t="shared" si="9"/>
      </c>
      <c r="AC31" s="136">
        <f t="shared" si="10"/>
      </c>
      <c r="AD31" s="136">
        <f t="shared" si="11"/>
      </c>
    </row>
    <row r="32" spans="2:30" ht="16.5" customHeight="1">
      <c r="B32" s="605" t="str">
        <f>B21&amp;"高校卒業"</f>
        <v>２人目高校卒業</v>
      </c>
      <c r="C32" s="606"/>
      <c r="D32" s="36">
        <f>DATE(YEAR(D31)+3,3,31)</f>
        <v>48304</v>
      </c>
      <c r="F32" s="210">
        <f t="shared" si="12"/>
        <v>27</v>
      </c>
      <c r="G32" s="28">
        <f t="shared" si="1"/>
        <v>44712</v>
      </c>
      <c r="H32" s="29">
        <f t="shared" si="2"/>
        <v>44712</v>
      </c>
      <c r="I32" s="22">
        <f t="shared" si="19"/>
        <v>50000</v>
      </c>
      <c r="J32" s="30">
        <f t="shared" si="13"/>
        <v>44712</v>
      </c>
      <c r="K32" s="23">
        <f t="shared" si="20"/>
      </c>
      <c r="L32" s="29">
        <f t="shared" si="14"/>
        <v>44712</v>
      </c>
      <c r="M32" s="22">
        <f t="shared" si="15"/>
        <v>50000</v>
      </c>
      <c r="N32" s="23" t="str">
        <f t="shared" si="21"/>
        <v>9歳誕生月</v>
      </c>
      <c r="O32" s="29">
        <f t="shared" si="3"/>
        <v>44712</v>
      </c>
      <c r="P32" s="22">
        <f t="shared" si="16"/>
        <v>50000</v>
      </c>
      <c r="Q32" s="23">
        <f t="shared" si="17"/>
      </c>
      <c r="R32" s="24">
        <f t="shared" si="18"/>
        <v>150000</v>
      </c>
      <c r="S32" s="211">
        <f t="shared" si="4"/>
        <v>2022</v>
      </c>
      <c r="T32" s="39"/>
      <c r="V32" s="25">
        <f t="shared" si="5"/>
        <v>28</v>
      </c>
      <c r="W32" s="26">
        <f t="shared" si="0"/>
        <v>44742</v>
      </c>
      <c r="X32" s="144">
        <f t="shared" si="6"/>
        <v>2022</v>
      </c>
      <c r="Y32" s="22">
        <f t="shared" si="7"/>
        <v>40000</v>
      </c>
      <c r="Z32" s="132">
        <f t="shared" si="8"/>
        <v>2880000</v>
      </c>
      <c r="AA32" s="135"/>
      <c r="AB32" s="136">
        <f t="shared" si="9"/>
      </c>
      <c r="AC32" s="136" t="str">
        <f t="shared" si="10"/>
        <v>9歳誕生月</v>
      </c>
      <c r="AD32" s="136">
        <f t="shared" si="11"/>
      </c>
    </row>
    <row r="33" spans="2:30" ht="16.5" customHeight="1" thickBot="1">
      <c r="B33" s="589" t="str">
        <f>B21&amp;"短大卒業"</f>
        <v>２人目短大卒業</v>
      </c>
      <c r="C33" s="590"/>
      <c r="D33" s="36">
        <f>DATE(YEAR(D32)+2,3,31)</f>
        <v>49034</v>
      </c>
      <c r="F33" s="210">
        <f t="shared" si="12"/>
        <v>28</v>
      </c>
      <c r="G33" s="28">
        <f t="shared" si="1"/>
        <v>44742</v>
      </c>
      <c r="H33" s="29">
        <f t="shared" si="2"/>
        <v>44742</v>
      </c>
      <c r="I33" s="22">
        <f t="shared" si="19"/>
        <v>50000</v>
      </c>
      <c r="J33" s="30">
        <f t="shared" si="13"/>
        <v>44742</v>
      </c>
      <c r="K33" s="23" t="str">
        <f t="shared" si="20"/>
        <v>13歳誕生月</v>
      </c>
      <c r="L33" s="29">
        <f t="shared" si="14"/>
        <v>44742</v>
      </c>
      <c r="M33" s="22">
        <f t="shared" si="15"/>
        <v>50000</v>
      </c>
      <c r="N33" s="23">
        <f t="shared" si="21"/>
      </c>
      <c r="O33" s="29">
        <f t="shared" si="3"/>
        <v>44742</v>
      </c>
      <c r="P33" s="22">
        <f t="shared" si="16"/>
        <v>50000</v>
      </c>
      <c r="Q33" s="23">
        <f t="shared" si="17"/>
      </c>
      <c r="R33" s="24">
        <f t="shared" si="18"/>
        <v>150000</v>
      </c>
      <c r="S33" s="211">
        <f t="shared" si="4"/>
        <v>2022</v>
      </c>
      <c r="T33" s="39"/>
      <c r="V33" s="25">
        <f t="shared" si="5"/>
        <v>29</v>
      </c>
      <c r="W33" s="26">
        <f t="shared" si="0"/>
        <v>44773</v>
      </c>
      <c r="X33" s="144">
        <f t="shared" si="6"/>
        <v>2022</v>
      </c>
      <c r="Y33" s="22">
        <f t="shared" si="7"/>
        <v>40000</v>
      </c>
      <c r="Z33" s="132">
        <f t="shared" si="8"/>
        <v>2840000</v>
      </c>
      <c r="AA33" s="135"/>
      <c r="AB33" s="136" t="str">
        <f t="shared" si="9"/>
        <v>13歳誕生月</v>
      </c>
      <c r="AC33" s="136">
        <f t="shared" si="10"/>
      </c>
      <c r="AD33" s="136">
        <f t="shared" si="11"/>
      </c>
    </row>
    <row r="34" spans="2:30" ht="16.5" customHeight="1" thickBot="1">
      <c r="B34" s="591" t="str">
        <f>B21&amp;"大学卒業"</f>
        <v>２人目大学卒業</v>
      </c>
      <c r="C34" s="592"/>
      <c r="D34" s="37">
        <f>DATE(YEAR(D32)+4,3,31)</f>
        <v>49765</v>
      </c>
      <c r="F34" s="210">
        <f t="shared" si="12"/>
        <v>29</v>
      </c>
      <c r="G34" s="28">
        <f t="shared" si="1"/>
        <v>44773</v>
      </c>
      <c r="H34" s="29">
        <f t="shared" si="2"/>
        <v>44773</v>
      </c>
      <c r="I34" s="22">
        <f t="shared" si="19"/>
        <v>50000</v>
      </c>
      <c r="J34" s="30">
        <f t="shared" si="13"/>
        <v>44773</v>
      </c>
      <c r="K34" s="23">
        <f t="shared" si="20"/>
      </c>
      <c r="L34" s="29">
        <f t="shared" si="14"/>
        <v>44773</v>
      </c>
      <c r="M34" s="22">
        <f t="shared" si="15"/>
        <v>50000</v>
      </c>
      <c r="N34" s="23">
        <f t="shared" si="21"/>
      </c>
      <c r="O34" s="29">
        <f t="shared" si="3"/>
        <v>44773</v>
      </c>
      <c r="P34" s="22">
        <f t="shared" si="16"/>
        <v>50000</v>
      </c>
      <c r="Q34" s="23">
        <f t="shared" si="17"/>
      </c>
      <c r="R34" s="24">
        <f t="shared" si="18"/>
        <v>150000</v>
      </c>
      <c r="S34" s="211">
        <f t="shared" si="4"/>
        <v>2022</v>
      </c>
      <c r="T34" s="39"/>
      <c r="V34" s="25">
        <f t="shared" si="5"/>
        <v>30</v>
      </c>
      <c r="W34" s="26">
        <f t="shared" si="0"/>
        <v>44804</v>
      </c>
      <c r="X34" s="144">
        <f t="shared" si="6"/>
        <v>2022</v>
      </c>
      <c r="Y34" s="22">
        <f t="shared" si="7"/>
        <v>40000</v>
      </c>
      <c r="Z34" s="132">
        <f t="shared" si="8"/>
        <v>2800000</v>
      </c>
      <c r="AA34" s="135"/>
      <c r="AB34" s="136">
        <f t="shared" si="9"/>
      </c>
      <c r="AC34" s="136">
        <f t="shared" si="10"/>
      </c>
      <c r="AD34" s="136">
        <f t="shared" si="11"/>
      </c>
    </row>
    <row r="35" spans="2:30" ht="16.5" customHeight="1" thickBot="1" thickTop="1">
      <c r="B35" s="593" t="str">
        <f>B21&amp;"成人"</f>
        <v>２人目成人</v>
      </c>
      <c r="C35" s="594"/>
      <c r="D35" s="38">
        <f>DATE(YEAR(D22)+20,MONTH(D22),DAY(D22))</f>
        <v>48710</v>
      </c>
      <c r="F35" s="210">
        <f t="shared" si="12"/>
        <v>30</v>
      </c>
      <c r="G35" s="28">
        <f t="shared" si="1"/>
        <v>44804</v>
      </c>
      <c r="H35" s="29">
        <f t="shared" si="2"/>
        <v>44804</v>
      </c>
      <c r="I35" s="22">
        <f t="shared" si="19"/>
        <v>50000</v>
      </c>
      <c r="J35" s="30">
        <f t="shared" si="13"/>
        <v>44804</v>
      </c>
      <c r="K35" s="23">
        <f t="shared" si="20"/>
      </c>
      <c r="L35" s="29">
        <f t="shared" si="14"/>
        <v>44804</v>
      </c>
      <c r="M35" s="22">
        <f t="shared" si="15"/>
        <v>50000</v>
      </c>
      <c r="N35" s="23">
        <f t="shared" si="21"/>
      </c>
      <c r="O35" s="29">
        <f t="shared" si="3"/>
        <v>44804</v>
      </c>
      <c r="P35" s="22">
        <f t="shared" si="16"/>
        <v>50000</v>
      </c>
      <c r="Q35" s="23">
        <f t="shared" si="17"/>
      </c>
      <c r="R35" s="24">
        <f t="shared" si="18"/>
        <v>150000</v>
      </c>
      <c r="S35" s="211">
        <f t="shared" si="4"/>
        <v>2022</v>
      </c>
      <c r="T35" s="39"/>
      <c r="V35" s="25">
        <f t="shared" si="5"/>
        <v>31</v>
      </c>
      <c r="W35" s="26">
        <f t="shared" si="0"/>
        <v>44834</v>
      </c>
      <c r="X35" s="144">
        <f t="shared" si="6"/>
        <v>2022</v>
      </c>
      <c r="Y35" s="22">
        <f t="shared" si="7"/>
        <v>40000</v>
      </c>
      <c r="Z35" s="132">
        <f t="shared" si="8"/>
        <v>2760000</v>
      </c>
      <c r="AA35" s="135"/>
      <c r="AB35" s="136">
        <f t="shared" si="9"/>
      </c>
      <c r="AC35" s="136">
        <f t="shared" si="10"/>
      </c>
      <c r="AD35" s="136">
        <f t="shared" si="11"/>
      </c>
    </row>
    <row r="36" spans="6:30" ht="16.5" customHeight="1" thickBot="1">
      <c r="F36" s="210">
        <f t="shared" si="12"/>
        <v>31</v>
      </c>
      <c r="G36" s="28">
        <f t="shared" si="1"/>
        <v>44834</v>
      </c>
      <c r="H36" s="29">
        <f t="shared" si="2"/>
        <v>44834</v>
      </c>
      <c r="I36" s="22">
        <f t="shared" si="19"/>
        <v>50000</v>
      </c>
      <c r="J36" s="30">
        <f t="shared" si="13"/>
        <v>44834</v>
      </c>
      <c r="K36" s="23">
        <f t="shared" si="20"/>
      </c>
      <c r="L36" s="29">
        <f t="shared" si="14"/>
        <v>44834</v>
      </c>
      <c r="M36" s="22">
        <f t="shared" si="15"/>
        <v>50000</v>
      </c>
      <c r="N36" s="23">
        <f t="shared" si="21"/>
      </c>
      <c r="O36" s="29">
        <f t="shared" si="3"/>
        <v>44834</v>
      </c>
      <c r="P36" s="22">
        <f t="shared" si="16"/>
        <v>50000</v>
      </c>
      <c r="Q36" s="23" t="str">
        <f t="shared" si="17"/>
        <v>4歳誕生月</v>
      </c>
      <c r="R36" s="24">
        <f t="shared" si="18"/>
        <v>150000</v>
      </c>
      <c r="S36" s="211">
        <f t="shared" si="4"/>
        <v>2022</v>
      </c>
      <c r="T36" s="39"/>
      <c r="V36" s="25">
        <f t="shared" si="5"/>
        <v>32</v>
      </c>
      <c r="W36" s="26">
        <f t="shared" si="0"/>
        <v>44865</v>
      </c>
      <c r="X36" s="144">
        <f t="shared" si="6"/>
        <v>2022</v>
      </c>
      <c r="Y36" s="22">
        <f t="shared" si="7"/>
        <v>40000</v>
      </c>
      <c r="Z36" s="132">
        <f t="shared" si="8"/>
        <v>2720000</v>
      </c>
      <c r="AA36" s="135"/>
      <c r="AB36" s="136">
        <f t="shared" si="9"/>
      </c>
      <c r="AC36" s="136">
        <f t="shared" si="10"/>
      </c>
      <c r="AD36" s="136" t="str">
        <f t="shared" si="11"/>
        <v>4歳誕生月</v>
      </c>
    </row>
    <row r="37" spans="2:30" ht="16.5" customHeight="1" thickBot="1">
      <c r="B37" s="607" t="s">
        <v>430</v>
      </c>
      <c r="C37" s="608"/>
      <c r="D37" s="609"/>
      <c r="F37" s="210">
        <f t="shared" si="12"/>
        <v>32</v>
      </c>
      <c r="G37" s="28">
        <f t="shared" si="1"/>
        <v>44865</v>
      </c>
      <c r="H37" s="29">
        <f t="shared" si="2"/>
        <v>44865</v>
      </c>
      <c r="I37" s="22">
        <f t="shared" si="19"/>
        <v>50000</v>
      </c>
      <c r="J37" s="30">
        <f t="shared" si="13"/>
        <v>44865</v>
      </c>
      <c r="K37" s="23">
        <f t="shared" si="20"/>
      </c>
      <c r="L37" s="29">
        <f t="shared" si="14"/>
        <v>44865</v>
      </c>
      <c r="M37" s="22">
        <f t="shared" si="15"/>
        <v>50000</v>
      </c>
      <c r="N37" s="23">
        <f t="shared" si="21"/>
      </c>
      <c r="O37" s="29">
        <f t="shared" si="3"/>
        <v>44865</v>
      </c>
      <c r="P37" s="22">
        <f t="shared" si="16"/>
        <v>50000</v>
      </c>
      <c r="Q37" s="23">
        <f t="shared" si="17"/>
      </c>
      <c r="R37" s="24">
        <f t="shared" si="18"/>
        <v>150000</v>
      </c>
      <c r="S37" s="211">
        <f t="shared" si="4"/>
        <v>2022</v>
      </c>
      <c r="T37" s="39"/>
      <c r="V37" s="25">
        <f t="shared" si="5"/>
        <v>33</v>
      </c>
      <c r="W37" s="26">
        <f t="shared" si="0"/>
        <v>44895</v>
      </c>
      <c r="X37" s="144">
        <f t="shared" si="6"/>
        <v>2022</v>
      </c>
      <c r="Y37" s="22">
        <f t="shared" si="7"/>
        <v>40000</v>
      </c>
      <c r="Z37" s="132">
        <f t="shared" si="8"/>
        <v>2680000</v>
      </c>
      <c r="AA37" s="135"/>
      <c r="AB37" s="136">
        <f t="shared" si="9"/>
      </c>
      <c r="AC37" s="136">
        <f t="shared" si="10"/>
      </c>
      <c r="AD37" s="136">
        <f t="shared" si="11"/>
      </c>
    </row>
    <row r="38" spans="2:30" ht="16.5" customHeight="1" thickBot="1">
      <c r="B38" s="610" t="s">
        <v>122</v>
      </c>
      <c r="C38" s="611"/>
      <c r="D38" s="27">
        <v>43345</v>
      </c>
      <c r="F38" s="210">
        <f t="shared" si="12"/>
        <v>33</v>
      </c>
      <c r="G38" s="28">
        <f t="shared" si="1"/>
        <v>44895</v>
      </c>
      <c r="H38" s="29">
        <f t="shared" si="2"/>
        <v>44895</v>
      </c>
      <c r="I38" s="22">
        <f t="shared" si="19"/>
        <v>50000</v>
      </c>
      <c r="J38" s="30">
        <f t="shared" si="13"/>
        <v>44895</v>
      </c>
      <c r="K38" s="23">
        <f t="shared" si="20"/>
      </c>
      <c r="L38" s="29">
        <f t="shared" si="14"/>
        <v>44895</v>
      </c>
      <c r="M38" s="22">
        <f t="shared" si="15"/>
        <v>50000</v>
      </c>
      <c r="N38" s="23">
        <f t="shared" si="21"/>
      </c>
      <c r="O38" s="29">
        <f t="shared" si="3"/>
        <v>44895</v>
      </c>
      <c r="P38" s="22">
        <f t="shared" si="16"/>
        <v>50000</v>
      </c>
      <c r="Q38" s="23">
        <f t="shared" si="17"/>
      </c>
      <c r="R38" s="24">
        <f t="shared" si="18"/>
        <v>150000</v>
      </c>
      <c r="S38" s="211">
        <f t="shared" si="4"/>
        <v>2022</v>
      </c>
      <c r="T38" s="39"/>
      <c r="V38" s="25">
        <f t="shared" si="5"/>
        <v>34</v>
      </c>
      <c r="W38" s="26">
        <f t="shared" si="0"/>
        <v>44926</v>
      </c>
      <c r="X38" s="144">
        <f t="shared" si="6"/>
        <v>2022</v>
      </c>
      <c r="Y38" s="22">
        <f t="shared" si="7"/>
        <v>40000</v>
      </c>
      <c r="Z38" s="132">
        <f t="shared" si="8"/>
        <v>2640000</v>
      </c>
      <c r="AA38" s="135"/>
      <c r="AB38" s="136">
        <f t="shared" si="9"/>
      </c>
      <c r="AC38" s="136">
        <f t="shared" si="10"/>
      </c>
      <c r="AD38" s="136">
        <f t="shared" si="11"/>
      </c>
    </row>
    <row r="39" spans="2:30" ht="16.5" customHeight="1">
      <c r="B39" s="612" t="s">
        <v>424</v>
      </c>
      <c r="C39" s="613"/>
      <c r="D39" s="31">
        <v>43921</v>
      </c>
      <c r="F39" s="210">
        <f t="shared" si="12"/>
        <v>34</v>
      </c>
      <c r="G39" s="28">
        <f t="shared" si="1"/>
        <v>44926</v>
      </c>
      <c r="H39" s="29">
        <f t="shared" si="2"/>
        <v>44926</v>
      </c>
      <c r="I39" s="22">
        <f t="shared" si="19"/>
        <v>50000</v>
      </c>
      <c r="J39" s="30">
        <f t="shared" si="13"/>
        <v>44926</v>
      </c>
      <c r="K39" s="23">
        <f t="shared" si="20"/>
      </c>
      <c r="L39" s="29">
        <f t="shared" si="14"/>
        <v>44926</v>
      </c>
      <c r="M39" s="22">
        <f t="shared" si="15"/>
        <v>50000</v>
      </c>
      <c r="N39" s="23">
        <f t="shared" si="21"/>
      </c>
      <c r="O39" s="29">
        <f t="shared" si="3"/>
        <v>44926</v>
      </c>
      <c r="P39" s="22">
        <f t="shared" si="16"/>
        <v>50000</v>
      </c>
      <c r="Q39" s="23">
        <f t="shared" si="17"/>
      </c>
      <c r="R39" s="24">
        <f t="shared" si="18"/>
        <v>150000</v>
      </c>
      <c r="S39" s="211">
        <f t="shared" si="4"/>
        <v>2022</v>
      </c>
      <c r="T39" s="39"/>
      <c r="V39" s="25">
        <f t="shared" si="5"/>
        <v>35</v>
      </c>
      <c r="W39" s="26">
        <f t="shared" si="0"/>
        <v>44957</v>
      </c>
      <c r="X39" s="144">
        <f t="shared" si="6"/>
        <v>2023</v>
      </c>
      <c r="Y39" s="22">
        <f t="shared" si="7"/>
        <v>40000</v>
      </c>
      <c r="Z39" s="132">
        <f t="shared" si="8"/>
        <v>2600000</v>
      </c>
      <c r="AA39" s="135"/>
      <c r="AB39" s="136">
        <f t="shared" si="9"/>
      </c>
      <c r="AC39" s="136">
        <f t="shared" si="10"/>
      </c>
      <c r="AD39" s="136">
        <f t="shared" si="11"/>
      </c>
    </row>
    <row r="40" spans="2:30" ht="16.5" customHeight="1">
      <c r="B40" s="595" t="s">
        <v>414</v>
      </c>
      <c r="C40" s="596"/>
      <c r="D40" s="32">
        <v>50000</v>
      </c>
      <c r="F40" s="210">
        <f t="shared" si="12"/>
        <v>35</v>
      </c>
      <c r="G40" s="28">
        <f t="shared" si="1"/>
        <v>44957</v>
      </c>
      <c r="H40" s="29">
        <f t="shared" si="2"/>
        <v>44957</v>
      </c>
      <c r="I40" s="22">
        <f t="shared" si="19"/>
        <v>50000</v>
      </c>
      <c r="J40" s="30">
        <f t="shared" si="13"/>
        <v>44957</v>
      </c>
      <c r="K40" s="23">
        <f t="shared" si="20"/>
      </c>
      <c r="L40" s="29">
        <f t="shared" si="14"/>
        <v>44957</v>
      </c>
      <c r="M40" s="22">
        <f t="shared" si="15"/>
        <v>50000</v>
      </c>
      <c r="N40" s="23">
        <f t="shared" si="21"/>
      </c>
      <c r="O40" s="29">
        <f t="shared" si="3"/>
        <v>44957</v>
      </c>
      <c r="P40" s="22">
        <f t="shared" si="16"/>
        <v>50000</v>
      </c>
      <c r="Q40" s="23">
        <f t="shared" si="17"/>
      </c>
      <c r="R40" s="24">
        <f t="shared" si="18"/>
        <v>150000</v>
      </c>
      <c r="S40" s="211">
        <f t="shared" si="4"/>
        <v>2023</v>
      </c>
      <c r="T40" s="39"/>
      <c r="V40" s="25">
        <f t="shared" si="5"/>
        <v>36</v>
      </c>
      <c r="W40" s="26">
        <f t="shared" si="0"/>
        <v>44985</v>
      </c>
      <c r="X40" s="144">
        <f t="shared" si="6"/>
        <v>2023</v>
      </c>
      <c r="Y40" s="22">
        <f t="shared" si="7"/>
        <v>40000</v>
      </c>
      <c r="Z40" s="132">
        <f t="shared" si="8"/>
        <v>2560000</v>
      </c>
      <c r="AA40" s="135"/>
      <c r="AB40" s="136">
        <f t="shared" si="9"/>
      </c>
      <c r="AC40" s="136">
        <f t="shared" si="10"/>
      </c>
      <c r="AD40" s="136">
        <f t="shared" si="11"/>
      </c>
    </row>
    <row r="41" spans="2:30" ht="16.5" customHeight="1">
      <c r="B41" s="595" t="s">
        <v>425</v>
      </c>
      <c r="C41" s="596"/>
      <c r="D41" s="33" t="s">
        <v>322</v>
      </c>
      <c r="F41" s="210">
        <f t="shared" si="12"/>
        <v>36</v>
      </c>
      <c r="G41" s="28">
        <f t="shared" si="1"/>
        <v>44985</v>
      </c>
      <c r="H41" s="29">
        <f t="shared" si="2"/>
        <v>44985</v>
      </c>
      <c r="I41" s="22">
        <f t="shared" si="19"/>
        <v>50000</v>
      </c>
      <c r="J41" s="30">
        <f t="shared" si="13"/>
        <v>44985</v>
      </c>
      <c r="K41" s="23">
        <f t="shared" si="20"/>
      </c>
      <c r="L41" s="29">
        <f t="shared" si="14"/>
        <v>44985</v>
      </c>
      <c r="M41" s="22">
        <f t="shared" si="15"/>
        <v>50000</v>
      </c>
      <c r="N41" s="23">
        <f t="shared" si="21"/>
      </c>
      <c r="O41" s="29">
        <f t="shared" si="3"/>
        <v>44985</v>
      </c>
      <c r="P41" s="22">
        <f t="shared" si="16"/>
        <v>50000</v>
      </c>
      <c r="Q41" s="23">
        <f t="shared" si="17"/>
      </c>
      <c r="R41" s="24">
        <f t="shared" si="18"/>
        <v>150000</v>
      </c>
      <c r="S41" s="211">
        <f t="shared" si="4"/>
        <v>2023</v>
      </c>
      <c r="T41" s="39"/>
      <c r="V41" s="25">
        <f t="shared" si="5"/>
        <v>37</v>
      </c>
      <c r="W41" s="26">
        <f t="shared" si="0"/>
        <v>45016</v>
      </c>
      <c r="X41" s="144">
        <f t="shared" si="6"/>
        <v>2023</v>
      </c>
      <c r="Y41" s="22">
        <f t="shared" si="7"/>
        <v>40000</v>
      </c>
      <c r="Z41" s="132">
        <f t="shared" si="8"/>
        <v>2520000</v>
      </c>
      <c r="AA41" s="135"/>
      <c r="AB41" s="136">
        <f t="shared" si="9"/>
      </c>
      <c r="AC41" s="136">
        <f t="shared" si="10"/>
      </c>
      <c r="AD41" s="136">
        <f t="shared" si="11"/>
      </c>
    </row>
    <row r="42" spans="2:30" ht="16.5" customHeight="1">
      <c r="B42" s="597" t="s">
        <v>426</v>
      </c>
      <c r="C42" s="598"/>
      <c r="D42" s="34" t="s">
        <v>431</v>
      </c>
      <c r="F42" s="210">
        <f t="shared" si="12"/>
        <v>37</v>
      </c>
      <c r="G42" s="28">
        <f t="shared" si="1"/>
        <v>45016</v>
      </c>
      <c r="H42" s="29">
        <f t="shared" si="2"/>
        <v>45016</v>
      </c>
      <c r="I42" s="22">
        <f t="shared" si="19"/>
        <v>50000</v>
      </c>
      <c r="J42" s="30">
        <f t="shared" si="13"/>
        <v>45016</v>
      </c>
      <c r="K42" s="23">
        <f t="shared" si="20"/>
      </c>
      <c r="L42" s="29">
        <f t="shared" si="14"/>
        <v>45016</v>
      </c>
      <c r="M42" s="22">
        <f t="shared" si="15"/>
        <v>50000</v>
      </c>
      <c r="N42" s="23">
        <f t="shared" si="21"/>
      </c>
      <c r="O42" s="29">
        <f t="shared" si="3"/>
        <v>45016</v>
      </c>
      <c r="P42" s="22">
        <f t="shared" si="16"/>
        <v>50000</v>
      </c>
      <c r="Q42" s="23">
        <f t="shared" si="17"/>
      </c>
      <c r="R42" s="24">
        <f t="shared" si="18"/>
        <v>150000</v>
      </c>
      <c r="S42" s="211">
        <f t="shared" si="4"/>
        <v>2023</v>
      </c>
      <c r="T42" s="39"/>
      <c r="V42" s="25">
        <f t="shared" si="5"/>
        <v>38</v>
      </c>
      <c r="W42" s="26">
        <f t="shared" si="0"/>
        <v>45046</v>
      </c>
      <c r="X42" s="144">
        <f t="shared" si="6"/>
        <v>2023</v>
      </c>
      <c r="Y42" s="22">
        <f t="shared" si="7"/>
        <v>40000</v>
      </c>
      <c r="Z42" s="132">
        <f t="shared" si="8"/>
        <v>2480000</v>
      </c>
      <c r="AA42" s="135"/>
      <c r="AB42" s="136">
        <f t="shared" si="9"/>
      </c>
      <c r="AC42" s="136">
        <f t="shared" si="10"/>
      </c>
      <c r="AD42" s="136">
        <f t="shared" si="11"/>
      </c>
    </row>
    <row r="43" spans="2:30" ht="16.5" customHeight="1" thickBot="1">
      <c r="B43" s="599"/>
      <c r="C43" s="600"/>
      <c r="D43" s="137">
        <f>IF(D42="","",VLOOKUP(D42,B46:D51,3,0))</f>
        <v>50650</v>
      </c>
      <c r="F43" s="210">
        <f t="shared" si="12"/>
        <v>38</v>
      </c>
      <c r="G43" s="28">
        <f t="shared" si="1"/>
        <v>45046</v>
      </c>
      <c r="H43" s="29">
        <f t="shared" si="2"/>
        <v>45046</v>
      </c>
      <c r="I43" s="22">
        <f t="shared" si="19"/>
        <v>50000</v>
      </c>
      <c r="J43" s="30">
        <f t="shared" si="13"/>
        <v>45046</v>
      </c>
      <c r="K43" s="23">
        <f t="shared" si="20"/>
      </c>
      <c r="L43" s="29">
        <f t="shared" si="14"/>
        <v>45046</v>
      </c>
      <c r="M43" s="22">
        <f t="shared" si="15"/>
        <v>50000</v>
      </c>
      <c r="N43" s="23">
        <f t="shared" si="21"/>
      </c>
      <c r="O43" s="29">
        <f t="shared" si="3"/>
        <v>45046</v>
      </c>
      <c r="P43" s="22">
        <f t="shared" si="16"/>
        <v>50000</v>
      </c>
      <c r="Q43" s="23">
        <f t="shared" si="17"/>
      </c>
      <c r="R43" s="24">
        <f t="shared" si="18"/>
        <v>150000</v>
      </c>
      <c r="S43" s="211">
        <f t="shared" si="4"/>
        <v>2023</v>
      </c>
      <c r="T43" s="39"/>
      <c r="V43" s="25">
        <f t="shared" si="5"/>
        <v>39</v>
      </c>
      <c r="W43" s="26">
        <f t="shared" si="0"/>
        <v>45077</v>
      </c>
      <c r="X43" s="144">
        <f t="shared" si="6"/>
        <v>2023</v>
      </c>
      <c r="Y43" s="22">
        <f t="shared" si="7"/>
        <v>40000</v>
      </c>
      <c r="Z43" s="132">
        <f t="shared" si="8"/>
        <v>2440000</v>
      </c>
      <c r="AA43" s="135"/>
      <c r="AB43" s="136">
        <f t="shared" si="9"/>
      </c>
      <c r="AC43" s="136">
        <f t="shared" si="10"/>
      </c>
      <c r="AD43" s="136">
        <f t="shared" si="11"/>
      </c>
    </row>
    <row r="44" spans="2:30" ht="16.5" customHeight="1">
      <c r="B44" s="601" t="s">
        <v>319</v>
      </c>
      <c r="C44" s="130" t="s">
        <v>320</v>
      </c>
      <c r="D44" s="31"/>
      <c r="F44" s="210">
        <f t="shared" si="12"/>
        <v>39</v>
      </c>
      <c r="G44" s="28">
        <f t="shared" si="1"/>
        <v>45077</v>
      </c>
      <c r="H44" s="29">
        <f t="shared" si="2"/>
        <v>45077</v>
      </c>
      <c r="I44" s="22">
        <f t="shared" si="19"/>
        <v>50000</v>
      </c>
      <c r="J44" s="30">
        <f t="shared" si="13"/>
        <v>45077</v>
      </c>
      <c r="K44" s="23">
        <f t="shared" si="20"/>
      </c>
      <c r="L44" s="29">
        <f t="shared" si="14"/>
        <v>45077</v>
      </c>
      <c r="M44" s="22">
        <f t="shared" si="15"/>
        <v>50000</v>
      </c>
      <c r="N44" s="23" t="str">
        <f t="shared" si="21"/>
        <v>10歳誕生月</v>
      </c>
      <c r="O44" s="29">
        <f t="shared" si="3"/>
        <v>45077</v>
      </c>
      <c r="P44" s="22">
        <f t="shared" si="16"/>
        <v>50000</v>
      </c>
      <c r="Q44" s="23">
        <f t="shared" si="17"/>
      </c>
      <c r="R44" s="24">
        <f t="shared" si="18"/>
        <v>150000</v>
      </c>
      <c r="S44" s="211">
        <f t="shared" si="4"/>
        <v>2023</v>
      </c>
      <c r="T44" s="39"/>
      <c r="V44" s="25">
        <f t="shared" si="5"/>
        <v>40</v>
      </c>
      <c r="W44" s="26">
        <f t="shared" si="0"/>
        <v>45107</v>
      </c>
      <c r="X44" s="144">
        <f t="shared" si="6"/>
        <v>2023</v>
      </c>
      <c r="Y44" s="22">
        <f t="shared" si="7"/>
        <v>40000</v>
      </c>
      <c r="Z44" s="132">
        <f t="shared" si="8"/>
        <v>2400000</v>
      </c>
      <c r="AA44" s="135"/>
      <c r="AB44" s="136">
        <f t="shared" si="9"/>
      </c>
      <c r="AC44" s="136" t="str">
        <f t="shared" si="10"/>
        <v>10歳誕生月</v>
      </c>
      <c r="AD44" s="136">
        <f t="shared" si="11"/>
      </c>
    </row>
    <row r="45" spans="2:30" ht="16.5" customHeight="1" thickBot="1">
      <c r="B45" s="602"/>
      <c r="C45" s="131" t="s">
        <v>321</v>
      </c>
      <c r="D45" s="129"/>
      <c r="F45" s="210">
        <f t="shared" si="12"/>
        <v>40</v>
      </c>
      <c r="G45" s="28">
        <f t="shared" si="1"/>
        <v>45107</v>
      </c>
      <c r="H45" s="29">
        <f t="shared" si="2"/>
        <v>45107</v>
      </c>
      <c r="I45" s="22">
        <f t="shared" si="19"/>
        <v>50000</v>
      </c>
      <c r="J45" s="30">
        <f t="shared" si="13"/>
        <v>45107</v>
      </c>
      <c r="K45" s="23" t="str">
        <f t="shared" si="20"/>
        <v>14歳誕生月</v>
      </c>
      <c r="L45" s="29">
        <f t="shared" si="14"/>
        <v>45107</v>
      </c>
      <c r="M45" s="22">
        <f t="shared" si="15"/>
        <v>50000</v>
      </c>
      <c r="N45" s="23">
        <f t="shared" si="21"/>
      </c>
      <c r="O45" s="29">
        <f t="shared" si="3"/>
        <v>45107</v>
      </c>
      <c r="P45" s="22">
        <f t="shared" si="16"/>
        <v>50000</v>
      </c>
      <c r="Q45" s="23">
        <f t="shared" si="17"/>
      </c>
      <c r="R45" s="24">
        <f t="shared" si="18"/>
        <v>150000</v>
      </c>
      <c r="S45" s="211">
        <f t="shared" si="4"/>
        <v>2023</v>
      </c>
      <c r="T45" s="39"/>
      <c r="V45" s="25">
        <f t="shared" si="5"/>
        <v>41</v>
      </c>
      <c r="W45" s="26">
        <f t="shared" si="0"/>
        <v>45138</v>
      </c>
      <c r="X45" s="144">
        <f t="shared" si="6"/>
        <v>2023</v>
      </c>
      <c r="Y45" s="22">
        <f t="shared" si="7"/>
        <v>40000</v>
      </c>
      <c r="Z45" s="132">
        <f t="shared" si="8"/>
        <v>2360000</v>
      </c>
      <c r="AA45" s="135"/>
      <c r="AB45" s="136" t="str">
        <f t="shared" si="9"/>
        <v>14歳誕生月</v>
      </c>
      <c r="AC45" s="136">
        <f t="shared" si="10"/>
      </c>
      <c r="AD45" s="136">
        <f t="shared" si="11"/>
      </c>
    </row>
    <row r="46" spans="2:30" ht="16.5" customHeight="1">
      <c r="B46" s="603" t="str">
        <f>B37&amp;"小学校入学"</f>
        <v>３人目小学校入学</v>
      </c>
      <c r="C46" s="604"/>
      <c r="D46" s="35">
        <f>DATE(YEAR(D38)+6,IF(MONTH(D38)&lt;4,4,16),2)</f>
        <v>45749</v>
      </c>
      <c r="F46" s="210">
        <f t="shared" si="12"/>
        <v>41</v>
      </c>
      <c r="G46" s="28">
        <f t="shared" si="1"/>
        <v>45138</v>
      </c>
      <c r="H46" s="29">
        <f t="shared" si="2"/>
        <v>45138</v>
      </c>
      <c r="I46" s="22">
        <f t="shared" si="19"/>
        <v>50000</v>
      </c>
      <c r="J46" s="30">
        <f t="shared" si="13"/>
        <v>45138</v>
      </c>
      <c r="K46" s="23">
        <f t="shared" si="20"/>
      </c>
      <c r="L46" s="29">
        <f t="shared" si="14"/>
        <v>45138</v>
      </c>
      <c r="M46" s="22">
        <f t="shared" si="15"/>
        <v>50000</v>
      </c>
      <c r="N46" s="23">
        <f t="shared" si="21"/>
      </c>
      <c r="O46" s="29">
        <f t="shared" si="3"/>
        <v>45138</v>
      </c>
      <c r="P46" s="22">
        <f t="shared" si="16"/>
        <v>50000</v>
      </c>
      <c r="Q46" s="23">
        <f t="shared" si="17"/>
      </c>
      <c r="R46" s="24">
        <f t="shared" si="18"/>
        <v>150000</v>
      </c>
      <c r="S46" s="211">
        <f t="shared" si="4"/>
        <v>2023</v>
      </c>
      <c r="T46" s="39"/>
      <c r="V46" s="25">
        <f t="shared" si="5"/>
        <v>42</v>
      </c>
      <c r="W46" s="26">
        <f t="shared" si="0"/>
        <v>45169</v>
      </c>
      <c r="X46" s="144">
        <f t="shared" si="6"/>
        <v>2023</v>
      </c>
      <c r="Y46" s="22">
        <f t="shared" si="7"/>
        <v>40000</v>
      </c>
      <c r="Z46" s="132">
        <f t="shared" si="8"/>
        <v>2320000</v>
      </c>
      <c r="AA46" s="135"/>
      <c r="AB46" s="136">
        <f t="shared" si="9"/>
      </c>
      <c r="AC46" s="136">
        <f t="shared" si="10"/>
      </c>
      <c r="AD46" s="136">
        <f t="shared" si="11"/>
      </c>
    </row>
    <row r="47" spans="2:30" ht="16.5" customHeight="1">
      <c r="B47" s="605" t="str">
        <f>B37&amp;"中学卒業"</f>
        <v>３人目中学卒業</v>
      </c>
      <c r="C47" s="606"/>
      <c r="D47" s="36">
        <f>DATE(YEAR(D46)+9,3,31)</f>
        <v>49034</v>
      </c>
      <c r="F47" s="210">
        <f t="shared" si="12"/>
        <v>42</v>
      </c>
      <c r="G47" s="28">
        <f t="shared" si="1"/>
        <v>45169</v>
      </c>
      <c r="H47" s="29">
        <f t="shared" si="2"/>
        <v>45169</v>
      </c>
      <c r="I47" s="22">
        <f t="shared" si="19"/>
        <v>50000</v>
      </c>
      <c r="J47" s="30">
        <f t="shared" si="13"/>
        <v>45169</v>
      </c>
      <c r="K47" s="23">
        <f t="shared" si="20"/>
      </c>
      <c r="L47" s="29">
        <f t="shared" si="14"/>
        <v>45169</v>
      </c>
      <c r="M47" s="22">
        <f t="shared" si="15"/>
        <v>50000</v>
      </c>
      <c r="N47" s="23">
        <f t="shared" si="21"/>
      </c>
      <c r="O47" s="29">
        <f t="shared" si="3"/>
        <v>45169</v>
      </c>
      <c r="P47" s="22">
        <f t="shared" si="16"/>
        <v>50000</v>
      </c>
      <c r="Q47" s="23">
        <f t="shared" si="17"/>
      </c>
      <c r="R47" s="24">
        <f t="shared" si="18"/>
        <v>150000</v>
      </c>
      <c r="S47" s="211">
        <f t="shared" si="4"/>
        <v>2023</v>
      </c>
      <c r="T47" s="39"/>
      <c r="V47" s="25">
        <f t="shared" si="5"/>
        <v>43</v>
      </c>
      <c r="W47" s="26">
        <f t="shared" si="0"/>
        <v>45199</v>
      </c>
      <c r="X47" s="144">
        <f t="shared" si="6"/>
        <v>2023</v>
      </c>
      <c r="Y47" s="22">
        <f t="shared" si="7"/>
        <v>40000</v>
      </c>
      <c r="Z47" s="132">
        <f t="shared" si="8"/>
        <v>2280000</v>
      </c>
      <c r="AA47" s="135"/>
      <c r="AB47" s="136">
        <f t="shared" si="9"/>
      </c>
      <c r="AC47" s="136">
        <f t="shared" si="10"/>
      </c>
      <c r="AD47" s="136">
        <f t="shared" si="11"/>
      </c>
    </row>
    <row r="48" spans="2:30" ht="16.5" customHeight="1">
      <c r="B48" s="605" t="str">
        <f>B37&amp;"高校卒業"</f>
        <v>３人目高校卒業</v>
      </c>
      <c r="C48" s="606"/>
      <c r="D48" s="36">
        <f>DATE(YEAR(D47)+3,3,31)</f>
        <v>50130</v>
      </c>
      <c r="F48" s="210">
        <f t="shared" si="12"/>
        <v>43</v>
      </c>
      <c r="G48" s="28">
        <f t="shared" si="1"/>
        <v>45199</v>
      </c>
      <c r="H48" s="29">
        <f t="shared" si="2"/>
        <v>45199</v>
      </c>
      <c r="I48" s="22">
        <f t="shared" si="19"/>
        <v>50000</v>
      </c>
      <c r="J48" s="30">
        <f t="shared" si="13"/>
        <v>45199</v>
      </c>
      <c r="K48" s="23">
        <f t="shared" si="20"/>
      </c>
      <c r="L48" s="29">
        <f t="shared" si="14"/>
        <v>45199</v>
      </c>
      <c r="M48" s="22">
        <f t="shared" si="15"/>
        <v>50000</v>
      </c>
      <c r="N48" s="23">
        <f t="shared" si="21"/>
      </c>
      <c r="O48" s="29">
        <f t="shared" si="3"/>
        <v>45199</v>
      </c>
      <c r="P48" s="22">
        <f t="shared" si="16"/>
        <v>50000</v>
      </c>
      <c r="Q48" s="23" t="str">
        <f t="shared" si="17"/>
        <v>5歳誕生月</v>
      </c>
      <c r="R48" s="24">
        <f t="shared" si="18"/>
        <v>150000</v>
      </c>
      <c r="S48" s="211">
        <f t="shared" si="4"/>
        <v>2023</v>
      </c>
      <c r="T48" s="39"/>
      <c r="V48" s="25">
        <f t="shared" si="5"/>
        <v>44</v>
      </c>
      <c r="W48" s="26">
        <f t="shared" si="0"/>
        <v>45230</v>
      </c>
      <c r="X48" s="144">
        <f t="shared" si="6"/>
        <v>2023</v>
      </c>
      <c r="Y48" s="22">
        <f t="shared" si="7"/>
        <v>40000</v>
      </c>
      <c r="Z48" s="132">
        <f t="shared" si="8"/>
        <v>2240000</v>
      </c>
      <c r="AA48" s="135"/>
      <c r="AB48" s="136">
        <f t="shared" si="9"/>
      </c>
      <c r="AC48" s="136">
        <f t="shared" si="10"/>
      </c>
      <c r="AD48" s="136" t="str">
        <f t="shared" si="11"/>
        <v>5歳誕生月</v>
      </c>
    </row>
    <row r="49" spans="2:30" ht="16.5" customHeight="1" thickBot="1">
      <c r="B49" s="589" t="str">
        <f>B37&amp;"短大卒業"</f>
        <v>３人目短大卒業</v>
      </c>
      <c r="C49" s="590"/>
      <c r="D49" s="36">
        <f>DATE(YEAR(D48)+2,3,31)</f>
        <v>50860</v>
      </c>
      <c r="F49" s="210">
        <f t="shared" si="12"/>
        <v>44</v>
      </c>
      <c r="G49" s="28">
        <f t="shared" si="1"/>
        <v>45230</v>
      </c>
      <c r="H49" s="29">
        <f t="shared" si="2"/>
        <v>45230</v>
      </c>
      <c r="I49" s="22">
        <f t="shared" si="19"/>
        <v>50000</v>
      </c>
      <c r="J49" s="30">
        <f t="shared" si="13"/>
        <v>45230</v>
      </c>
      <c r="K49" s="23">
        <f t="shared" si="20"/>
      </c>
      <c r="L49" s="29">
        <f t="shared" si="14"/>
        <v>45230</v>
      </c>
      <c r="M49" s="22">
        <f t="shared" si="15"/>
        <v>50000</v>
      </c>
      <c r="N49" s="23">
        <f t="shared" si="21"/>
      </c>
      <c r="O49" s="29">
        <f t="shared" si="3"/>
        <v>45230</v>
      </c>
      <c r="P49" s="22">
        <f t="shared" si="16"/>
        <v>50000</v>
      </c>
      <c r="Q49" s="23">
        <f t="shared" si="17"/>
      </c>
      <c r="R49" s="24">
        <f t="shared" si="18"/>
        <v>150000</v>
      </c>
      <c r="S49" s="211">
        <f t="shared" si="4"/>
        <v>2023</v>
      </c>
      <c r="T49" s="39"/>
      <c r="V49" s="25">
        <f t="shared" si="5"/>
        <v>45</v>
      </c>
      <c r="W49" s="26">
        <f t="shared" si="0"/>
        <v>45260</v>
      </c>
      <c r="X49" s="144">
        <f t="shared" si="6"/>
        <v>2023</v>
      </c>
      <c r="Y49" s="22">
        <f t="shared" si="7"/>
        <v>40000</v>
      </c>
      <c r="Z49" s="132">
        <f t="shared" si="8"/>
        <v>2200000</v>
      </c>
      <c r="AA49" s="135"/>
      <c r="AB49" s="136">
        <f t="shared" si="9"/>
      </c>
      <c r="AC49" s="136">
        <f t="shared" si="10"/>
      </c>
      <c r="AD49" s="136">
        <f t="shared" si="11"/>
      </c>
    </row>
    <row r="50" spans="2:30" ht="16.5" customHeight="1" thickBot="1">
      <c r="B50" s="591" t="str">
        <f>B37&amp;"大学卒業"</f>
        <v>３人目大学卒業</v>
      </c>
      <c r="C50" s="592"/>
      <c r="D50" s="37">
        <f>DATE(YEAR(D48)+4,3,31)</f>
        <v>51591</v>
      </c>
      <c r="F50" s="210">
        <f t="shared" si="12"/>
        <v>45</v>
      </c>
      <c r="G50" s="28">
        <f t="shared" si="1"/>
        <v>45260</v>
      </c>
      <c r="H50" s="29">
        <f t="shared" si="2"/>
        <v>45260</v>
      </c>
      <c r="I50" s="22">
        <f t="shared" si="19"/>
        <v>50000</v>
      </c>
      <c r="J50" s="30">
        <f t="shared" si="13"/>
        <v>45260</v>
      </c>
      <c r="K50" s="23">
        <f t="shared" si="20"/>
      </c>
      <c r="L50" s="29">
        <f t="shared" si="14"/>
        <v>45260</v>
      </c>
      <c r="M50" s="22">
        <f t="shared" si="15"/>
        <v>50000</v>
      </c>
      <c r="N50" s="23">
        <f t="shared" si="21"/>
      </c>
      <c r="O50" s="29">
        <f t="shared" si="3"/>
        <v>45260</v>
      </c>
      <c r="P50" s="22">
        <f t="shared" si="16"/>
        <v>50000</v>
      </c>
      <c r="Q50" s="23">
        <f t="shared" si="17"/>
      </c>
      <c r="R50" s="24">
        <f t="shared" si="18"/>
        <v>150000</v>
      </c>
      <c r="S50" s="211">
        <f t="shared" si="4"/>
        <v>2023</v>
      </c>
      <c r="T50" s="39"/>
      <c r="V50" s="25">
        <f t="shared" si="5"/>
        <v>46</v>
      </c>
      <c r="W50" s="26">
        <f t="shared" si="0"/>
        <v>45291</v>
      </c>
      <c r="X50" s="144">
        <f t="shared" si="6"/>
        <v>2023</v>
      </c>
      <c r="Y50" s="22">
        <f t="shared" si="7"/>
        <v>40000</v>
      </c>
      <c r="Z50" s="132">
        <f t="shared" si="8"/>
        <v>2160000</v>
      </c>
      <c r="AA50" s="135"/>
      <c r="AB50" s="136">
        <f t="shared" si="9"/>
      </c>
      <c r="AC50" s="136">
        <f t="shared" si="10"/>
      </c>
      <c r="AD50" s="136">
        <f t="shared" si="11"/>
      </c>
    </row>
    <row r="51" spans="2:30" ht="16.5" customHeight="1" thickBot="1" thickTop="1">
      <c r="B51" s="593" t="str">
        <f>B37&amp;"成人"</f>
        <v>３人目成人</v>
      </c>
      <c r="C51" s="594"/>
      <c r="D51" s="38">
        <f>DATE(YEAR(D38)+20,MONTH(D38),DAY(D38))</f>
        <v>50650</v>
      </c>
      <c r="F51" s="210">
        <f t="shared" si="12"/>
        <v>46</v>
      </c>
      <c r="G51" s="28">
        <f t="shared" si="1"/>
        <v>45291</v>
      </c>
      <c r="H51" s="29">
        <f t="shared" si="2"/>
        <v>45291</v>
      </c>
      <c r="I51" s="22">
        <f t="shared" si="19"/>
        <v>50000</v>
      </c>
      <c r="J51" s="30">
        <f t="shared" si="13"/>
        <v>45291</v>
      </c>
      <c r="K51" s="23">
        <f t="shared" si="20"/>
      </c>
      <c r="L51" s="29">
        <f t="shared" si="14"/>
        <v>45291</v>
      </c>
      <c r="M51" s="22">
        <f t="shared" si="15"/>
        <v>50000</v>
      </c>
      <c r="N51" s="23">
        <f t="shared" si="21"/>
      </c>
      <c r="O51" s="29">
        <f t="shared" si="3"/>
        <v>45291</v>
      </c>
      <c r="P51" s="22">
        <f t="shared" si="16"/>
        <v>50000</v>
      </c>
      <c r="Q51" s="23">
        <f t="shared" si="17"/>
      </c>
      <c r="R51" s="24">
        <f t="shared" si="18"/>
        <v>150000</v>
      </c>
      <c r="S51" s="211">
        <f t="shared" si="4"/>
        <v>2023</v>
      </c>
      <c r="T51" s="39"/>
      <c r="V51" s="25">
        <f t="shared" si="5"/>
        <v>47</v>
      </c>
      <c r="W51" s="26">
        <f t="shared" si="0"/>
        <v>45322</v>
      </c>
      <c r="X51" s="144">
        <f t="shared" si="6"/>
        <v>2024</v>
      </c>
      <c r="Y51" s="22">
        <f t="shared" si="7"/>
        <v>40000</v>
      </c>
      <c r="Z51" s="132">
        <f t="shared" si="8"/>
        <v>2120000</v>
      </c>
      <c r="AA51" s="135"/>
      <c r="AB51" s="136">
        <f t="shared" si="9"/>
      </c>
      <c r="AC51" s="136">
        <f t="shared" si="10"/>
      </c>
      <c r="AD51" s="136">
        <f t="shared" si="11"/>
      </c>
    </row>
    <row r="52" spans="6:30" ht="16.5" customHeight="1">
      <c r="F52" s="210">
        <f t="shared" si="12"/>
        <v>47</v>
      </c>
      <c r="G52" s="28">
        <f t="shared" si="1"/>
        <v>45322</v>
      </c>
      <c r="H52" s="29">
        <f t="shared" si="2"/>
        <v>45322</v>
      </c>
      <c r="I52" s="22">
        <f t="shared" si="19"/>
        <v>50000</v>
      </c>
      <c r="J52" s="30">
        <f t="shared" si="13"/>
        <v>45322</v>
      </c>
      <c r="K52" s="23">
        <f t="shared" si="20"/>
      </c>
      <c r="L52" s="29">
        <f t="shared" si="14"/>
        <v>45322</v>
      </c>
      <c r="M52" s="22">
        <f t="shared" si="15"/>
        <v>50000</v>
      </c>
      <c r="N52" s="23">
        <f t="shared" si="21"/>
      </c>
      <c r="O52" s="29">
        <f t="shared" si="3"/>
        <v>45322</v>
      </c>
      <c r="P52" s="22">
        <f t="shared" si="16"/>
        <v>50000</v>
      </c>
      <c r="Q52" s="23">
        <f t="shared" si="17"/>
      </c>
      <c r="R52" s="24">
        <f t="shared" si="18"/>
        <v>150000</v>
      </c>
      <c r="S52" s="211">
        <f t="shared" si="4"/>
        <v>2024</v>
      </c>
      <c r="T52" s="39"/>
      <c r="V52" s="25">
        <f t="shared" si="5"/>
        <v>48</v>
      </c>
      <c r="W52" s="26">
        <f t="shared" si="0"/>
        <v>45351</v>
      </c>
      <c r="X52" s="144">
        <f t="shared" si="6"/>
        <v>2024</v>
      </c>
      <c r="Y52" s="22">
        <f t="shared" si="7"/>
        <v>40000</v>
      </c>
      <c r="Z52" s="132">
        <f t="shared" si="8"/>
        <v>2080000</v>
      </c>
      <c r="AA52" s="135"/>
      <c r="AB52" s="136">
        <f t="shared" si="9"/>
      </c>
      <c r="AC52" s="136">
        <f t="shared" si="10"/>
      </c>
      <c r="AD52" s="136">
        <f t="shared" si="11"/>
      </c>
    </row>
    <row r="53" spans="6:30" ht="16.5" customHeight="1">
      <c r="F53" s="210">
        <f t="shared" si="12"/>
        <v>48</v>
      </c>
      <c r="G53" s="28">
        <f t="shared" si="1"/>
        <v>45351</v>
      </c>
      <c r="H53" s="29">
        <f t="shared" si="2"/>
        <v>45351</v>
      </c>
      <c r="I53" s="22">
        <f t="shared" si="19"/>
        <v>50000</v>
      </c>
      <c r="J53" s="30">
        <f t="shared" si="13"/>
        <v>45351</v>
      </c>
      <c r="K53" s="23">
        <f t="shared" si="20"/>
      </c>
      <c r="L53" s="29">
        <f t="shared" si="14"/>
        <v>45351</v>
      </c>
      <c r="M53" s="22">
        <f t="shared" si="15"/>
        <v>50000</v>
      </c>
      <c r="N53" s="23">
        <f t="shared" si="21"/>
      </c>
      <c r="O53" s="29">
        <f t="shared" si="3"/>
        <v>45351</v>
      </c>
      <c r="P53" s="22">
        <f t="shared" si="16"/>
        <v>50000</v>
      </c>
      <c r="Q53" s="23">
        <f t="shared" si="17"/>
      </c>
      <c r="R53" s="24">
        <f t="shared" si="18"/>
        <v>150000</v>
      </c>
      <c r="S53" s="211">
        <f t="shared" si="4"/>
        <v>2024</v>
      </c>
      <c r="T53" s="39"/>
      <c r="V53" s="25">
        <f t="shared" si="5"/>
        <v>49</v>
      </c>
      <c r="W53" s="26">
        <f t="shared" si="0"/>
        <v>45382</v>
      </c>
      <c r="X53" s="144">
        <f t="shared" si="6"/>
        <v>2024</v>
      </c>
      <c r="Y53" s="22">
        <f t="shared" si="7"/>
        <v>40000</v>
      </c>
      <c r="Z53" s="132">
        <f t="shared" si="8"/>
        <v>2040000</v>
      </c>
      <c r="AA53" s="135"/>
      <c r="AB53" s="136">
        <f t="shared" si="9"/>
      </c>
      <c r="AC53" s="136">
        <f t="shared" si="10"/>
      </c>
      <c r="AD53" s="136">
        <f t="shared" si="11"/>
      </c>
    </row>
    <row r="54" spans="6:30" ht="16.5" customHeight="1">
      <c r="F54" s="210">
        <f t="shared" si="12"/>
        <v>49</v>
      </c>
      <c r="G54" s="28">
        <f t="shared" si="1"/>
        <v>45382</v>
      </c>
      <c r="H54" s="29">
        <f t="shared" si="2"/>
        <v>45382</v>
      </c>
      <c r="I54" s="22">
        <f t="shared" si="19"/>
        <v>50000</v>
      </c>
      <c r="J54" s="30">
        <f t="shared" si="13"/>
        <v>45382</v>
      </c>
      <c r="K54" s="23">
        <f t="shared" si="20"/>
      </c>
      <c r="L54" s="29">
        <f t="shared" si="14"/>
        <v>45382</v>
      </c>
      <c r="M54" s="22">
        <f t="shared" si="15"/>
        <v>50000</v>
      </c>
      <c r="N54" s="23">
        <f t="shared" si="21"/>
      </c>
      <c r="O54" s="29">
        <f t="shared" si="3"/>
        <v>45382</v>
      </c>
      <c r="P54" s="22">
        <f t="shared" si="16"/>
        <v>50000</v>
      </c>
      <c r="Q54" s="23">
        <f t="shared" si="17"/>
      </c>
      <c r="R54" s="24">
        <f t="shared" si="18"/>
        <v>150000</v>
      </c>
      <c r="S54" s="211">
        <f t="shared" si="4"/>
        <v>2024</v>
      </c>
      <c r="T54" s="39"/>
      <c r="V54" s="25">
        <f t="shared" si="5"/>
        <v>50</v>
      </c>
      <c r="W54" s="26">
        <f t="shared" si="0"/>
        <v>45412</v>
      </c>
      <c r="X54" s="144">
        <f t="shared" si="6"/>
        <v>2024</v>
      </c>
      <c r="Y54" s="22">
        <f t="shared" si="7"/>
        <v>40000</v>
      </c>
      <c r="Z54" s="132">
        <f t="shared" si="8"/>
        <v>2000000</v>
      </c>
      <c r="AA54" s="135"/>
      <c r="AB54" s="136">
        <f t="shared" si="9"/>
      </c>
      <c r="AC54" s="136">
        <f t="shared" si="10"/>
      </c>
      <c r="AD54" s="136">
        <f t="shared" si="11"/>
      </c>
    </row>
    <row r="55" spans="6:30" ht="16.5" customHeight="1">
      <c r="F55" s="210">
        <f t="shared" si="12"/>
        <v>50</v>
      </c>
      <c r="G55" s="28">
        <f t="shared" si="1"/>
        <v>45412</v>
      </c>
      <c r="H55" s="29">
        <f t="shared" si="2"/>
        <v>45412</v>
      </c>
      <c r="I55" s="22">
        <f t="shared" si="19"/>
        <v>50000</v>
      </c>
      <c r="J55" s="30">
        <f t="shared" si="13"/>
        <v>45412</v>
      </c>
      <c r="K55" s="23">
        <f t="shared" si="20"/>
      </c>
      <c r="L55" s="29">
        <f t="shared" si="14"/>
        <v>45412</v>
      </c>
      <c r="M55" s="22">
        <f t="shared" si="15"/>
        <v>50000</v>
      </c>
      <c r="N55" s="23">
        <f t="shared" si="21"/>
      </c>
      <c r="O55" s="29">
        <f t="shared" si="3"/>
        <v>45412</v>
      </c>
      <c r="P55" s="22">
        <f t="shared" si="16"/>
        <v>50000</v>
      </c>
      <c r="Q55" s="23">
        <f t="shared" si="17"/>
      </c>
      <c r="R55" s="24">
        <f t="shared" si="18"/>
        <v>150000</v>
      </c>
      <c r="S55" s="211">
        <f t="shared" si="4"/>
        <v>2024</v>
      </c>
      <c r="T55" s="39"/>
      <c r="V55" s="25">
        <f t="shared" si="5"/>
        <v>51</v>
      </c>
      <c r="W55" s="26">
        <f t="shared" si="0"/>
        <v>45443</v>
      </c>
      <c r="X55" s="144">
        <f t="shared" si="6"/>
        <v>2024</v>
      </c>
      <c r="Y55" s="22">
        <f t="shared" si="7"/>
        <v>40000</v>
      </c>
      <c r="Z55" s="132">
        <f t="shared" si="8"/>
        <v>1960000</v>
      </c>
      <c r="AA55" s="135"/>
      <c r="AB55" s="136">
        <f t="shared" si="9"/>
      </c>
      <c r="AC55" s="136">
        <f t="shared" si="10"/>
      </c>
      <c r="AD55" s="136">
        <f t="shared" si="11"/>
      </c>
    </row>
    <row r="56" spans="6:30" ht="16.5" customHeight="1">
      <c r="F56" s="210">
        <f t="shared" si="12"/>
        <v>51</v>
      </c>
      <c r="G56" s="28">
        <f t="shared" si="1"/>
        <v>45443</v>
      </c>
      <c r="H56" s="29">
        <f t="shared" si="2"/>
        <v>45443</v>
      </c>
      <c r="I56" s="22">
        <f t="shared" si="19"/>
        <v>50000</v>
      </c>
      <c r="J56" s="30">
        <f t="shared" si="13"/>
        <v>45443</v>
      </c>
      <c r="K56" s="23">
        <f t="shared" si="20"/>
      </c>
      <c r="L56" s="29">
        <f t="shared" si="14"/>
        <v>45443</v>
      </c>
      <c r="M56" s="22">
        <f t="shared" si="15"/>
        <v>50000</v>
      </c>
      <c r="N56" s="23" t="str">
        <f t="shared" si="21"/>
        <v>11歳誕生月</v>
      </c>
      <c r="O56" s="29">
        <f t="shared" si="3"/>
        <v>45443</v>
      </c>
      <c r="P56" s="22">
        <f t="shared" si="16"/>
        <v>50000</v>
      </c>
      <c r="Q56" s="23">
        <f t="shared" si="17"/>
      </c>
      <c r="R56" s="24">
        <f t="shared" si="18"/>
        <v>150000</v>
      </c>
      <c r="S56" s="211">
        <f t="shared" si="4"/>
        <v>2024</v>
      </c>
      <c r="T56" s="39"/>
      <c r="V56" s="25">
        <f t="shared" si="5"/>
        <v>52</v>
      </c>
      <c r="W56" s="26">
        <f t="shared" si="0"/>
        <v>45473</v>
      </c>
      <c r="X56" s="144">
        <f t="shared" si="6"/>
        <v>2024</v>
      </c>
      <c r="Y56" s="22">
        <f t="shared" si="7"/>
        <v>40000</v>
      </c>
      <c r="Z56" s="132">
        <f t="shared" si="8"/>
        <v>1920000</v>
      </c>
      <c r="AA56" s="135"/>
      <c r="AB56" s="136">
        <f t="shared" si="9"/>
      </c>
      <c r="AC56" s="136" t="str">
        <f t="shared" si="10"/>
        <v>11歳誕生月</v>
      </c>
      <c r="AD56" s="136">
        <f t="shared" si="11"/>
      </c>
    </row>
    <row r="57" spans="6:30" ht="16.5" customHeight="1">
      <c r="F57" s="210">
        <f t="shared" si="12"/>
        <v>52</v>
      </c>
      <c r="G57" s="28">
        <f t="shared" si="1"/>
        <v>45473</v>
      </c>
      <c r="H57" s="29">
        <f t="shared" si="2"/>
        <v>45473</v>
      </c>
      <c r="I57" s="22">
        <f t="shared" si="19"/>
        <v>50000</v>
      </c>
      <c r="J57" s="30">
        <f t="shared" si="13"/>
        <v>45473</v>
      </c>
      <c r="K57" s="23" t="str">
        <f t="shared" si="20"/>
        <v>15歳誕生月</v>
      </c>
      <c r="L57" s="29">
        <f t="shared" si="14"/>
        <v>45473</v>
      </c>
      <c r="M57" s="22">
        <f t="shared" si="15"/>
        <v>50000</v>
      </c>
      <c r="N57" s="23">
        <f t="shared" si="21"/>
      </c>
      <c r="O57" s="29">
        <f t="shared" si="3"/>
        <v>45473</v>
      </c>
      <c r="P57" s="22">
        <f t="shared" si="16"/>
        <v>50000</v>
      </c>
      <c r="Q57" s="23">
        <f t="shared" si="17"/>
      </c>
      <c r="R57" s="24">
        <f t="shared" si="18"/>
        <v>150000</v>
      </c>
      <c r="S57" s="211">
        <f t="shared" si="4"/>
        <v>2024</v>
      </c>
      <c r="T57" s="39"/>
      <c r="V57" s="25">
        <f t="shared" si="5"/>
        <v>53</v>
      </c>
      <c r="W57" s="26">
        <f t="shared" si="0"/>
        <v>45504</v>
      </c>
      <c r="X57" s="144">
        <f t="shared" si="6"/>
        <v>2024</v>
      </c>
      <c r="Y57" s="22">
        <f t="shared" si="7"/>
        <v>40000</v>
      </c>
      <c r="Z57" s="132">
        <f t="shared" si="8"/>
        <v>1880000</v>
      </c>
      <c r="AA57" s="135"/>
      <c r="AB57" s="136" t="str">
        <f t="shared" si="9"/>
        <v>15歳誕生月</v>
      </c>
      <c r="AC57" s="136">
        <f t="shared" si="10"/>
      </c>
      <c r="AD57" s="136">
        <f t="shared" si="11"/>
      </c>
    </row>
    <row r="58" spans="6:30" ht="16.5" customHeight="1">
      <c r="F58" s="210">
        <f t="shared" si="12"/>
        <v>53</v>
      </c>
      <c r="G58" s="28">
        <f t="shared" si="1"/>
        <v>45504</v>
      </c>
      <c r="H58" s="29">
        <f t="shared" si="2"/>
        <v>45504</v>
      </c>
      <c r="I58" s="22">
        <f t="shared" si="19"/>
        <v>50000</v>
      </c>
      <c r="J58" s="30">
        <f t="shared" si="13"/>
        <v>45504</v>
      </c>
      <c r="K58" s="23">
        <f t="shared" si="20"/>
      </c>
      <c r="L58" s="29">
        <f t="shared" si="14"/>
        <v>45504</v>
      </c>
      <c r="M58" s="22">
        <f t="shared" si="15"/>
        <v>50000</v>
      </c>
      <c r="N58" s="23">
        <f t="shared" si="21"/>
      </c>
      <c r="O58" s="29">
        <f t="shared" si="3"/>
        <v>45504</v>
      </c>
      <c r="P58" s="22">
        <f t="shared" si="16"/>
        <v>50000</v>
      </c>
      <c r="Q58" s="23">
        <f t="shared" si="17"/>
      </c>
      <c r="R58" s="24">
        <f t="shared" si="18"/>
        <v>150000</v>
      </c>
      <c r="S58" s="211">
        <f t="shared" si="4"/>
        <v>2024</v>
      </c>
      <c r="T58" s="39"/>
      <c r="V58" s="25">
        <f t="shared" si="5"/>
        <v>54</v>
      </c>
      <c r="W58" s="26">
        <f t="shared" si="0"/>
        <v>45535</v>
      </c>
      <c r="X58" s="144">
        <f t="shared" si="6"/>
        <v>2024</v>
      </c>
      <c r="Y58" s="22">
        <f t="shared" si="7"/>
        <v>40000</v>
      </c>
      <c r="Z58" s="132">
        <f t="shared" si="8"/>
        <v>1840000</v>
      </c>
      <c r="AA58" s="135"/>
      <c r="AB58" s="136">
        <f t="shared" si="9"/>
      </c>
      <c r="AC58" s="136">
        <f t="shared" si="10"/>
      </c>
      <c r="AD58" s="136">
        <f t="shared" si="11"/>
      </c>
    </row>
    <row r="59" spans="6:30" ht="16.5" customHeight="1">
      <c r="F59" s="210">
        <f t="shared" si="12"/>
        <v>54</v>
      </c>
      <c r="G59" s="28">
        <f t="shared" si="1"/>
        <v>45535</v>
      </c>
      <c r="H59" s="29">
        <f t="shared" si="2"/>
        <v>45535</v>
      </c>
      <c r="I59" s="22">
        <f t="shared" si="19"/>
        <v>50000</v>
      </c>
      <c r="J59" s="30">
        <f t="shared" si="13"/>
        <v>45535</v>
      </c>
      <c r="K59" s="23">
        <f t="shared" si="20"/>
      </c>
      <c r="L59" s="29">
        <f t="shared" si="14"/>
        <v>45535</v>
      </c>
      <c r="M59" s="22">
        <f t="shared" si="15"/>
        <v>50000</v>
      </c>
      <c r="N59" s="23">
        <f t="shared" si="21"/>
      </c>
      <c r="O59" s="29">
        <f t="shared" si="3"/>
        <v>45535</v>
      </c>
      <c r="P59" s="22">
        <f t="shared" si="16"/>
        <v>50000</v>
      </c>
      <c r="Q59" s="23">
        <f t="shared" si="17"/>
      </c>
      <c r="R59" s="24">
        <f t="shared" si="18"/>
        <v>150000</v>
      </c>
      <c r="S59" s="211">
        <f t="shared" si="4"/>
        <v>2024</v>
      </c>
      <c r="T59" s="39"/>
      <c r="V59" s="25">
        <f t="shared" si="5"/>
        <v>55</v>
      </c>
      <c r="W59" s="26">
        <f aca="true" t="shared" si="22" ref="W59:W68">O60</f>
        <v>45565</v>
      </c>
      <c r="X59" s="144">
        <f t="shared" si="6"/>
        <v>2024</v>
      </c>
      <c r="Y59" s="22">
        <f t="shared" si="7"/>
        <v>40000</v>
      </c>
      <c r="Z59" s="132">
        <f t="shared" si="8"/>
        <v>1800000</v>
      </c>
      <c r="AA59" s="135"/>
      <c r="AB59" s="136">
        <f t="shared" si="9"/>
      </c>
      <c r="AC59" s="136">
        <f t="shared" si="10"/>
      </c>
      <c r="AD59" s="136">
        <f t="shared" si="11"/>
      </c>
    </row>
    <row r="60" spans="6:30" ht="16.5" customHeight="1">
      <c r="F60" s="210">
        <f t="shared" si="12"/>
        <v>55</v>
      </c>
      <c r="G60" s="28">
        <f t="shared" si="1"/>
        <v>45565</v>
      </c>
      <c r="H60" s="29">
        <f t="shared" si="2"/>
        <v>45565</v>
      </c>
      <c r="I60" s="22">
        <f aca="true" t="shared" si="23" ref="I60:I69">IF(O60="","",IF(AND(D$12&lt;&gt;0,O60&gt;D$12),D$13,I59))</f>
        <v>50000</v>
      </c>
      <c r="J60" s="30">
        <f t="shared" si="13"/>
        <v>45565</v>
      </c>
      <c r="K60" s="23">
        <f aca="true" t="shared" si="24" ref="K60:K69">IF(O60="","",IF(AND(YEAR(O60)=YEAR(D$15),MONTH(O60)=MONTH(D$15)),B$15,IF(AND(YEAR(O60)=YEAR(D$16),MONTH(O60)=MONTH(D$16)),B$16,IF(AND(YEAR(O60)=YEAR(D$17),MONTH(O60)=MONTH(D$17)),B$17,IF(AND(YEAR(O60)=YEAR(D$19),MONTH(O60)=MONTH(D$19)),B$19,IF(AND(YEAR(O60)=YEAR(D$18),MONTH(O60)=MONTH(D$18)),B$18,AB60))))))</f>
      </c>
      <c r="L60" s="29">
        <f t="shared" si="14"/>
        <v>45565</v>
      </c>
      <c r="M60" s="22">
        <f t="shared" si="15"/>
        <v>50000</v>
      </c>
      <c r="N60" s="23">
        <f t="shared" si="21"/>
      </c>
      <c r="O60" s="29">
        <f t="shared" si="3"/>
        <v>45565</v>
      </c>
      <c r="P60" s="22">
        <f t="shared" si="16"/>
        <v>50000</v>
      </c>
      <c r="Q60" s="23" t="str">
        <f t="shared" si="17"/>
        <v>6歳誕生月</v>
      </c>
      <c r="R60" s="24">
        <f t="shared" si="18"/>
        <v>150000</v>
      </c>
      <c r="S60" s="211">
        <f aca="true" t="shared" si="25" ref="S60:S69">IF(AND(O60="",L60=""),"",IF(ISERROR(YEAR(O60)),YEAR(L60),YEAR(O60)))</f>
        <v>2024</v>
      </c>
      <c r="T60" s="39"/>
      <c r="V60" s="25">
        <f t="shared" si="5"/>
        <v>56</v>
      </c>
      <c r="W60" s="26">
        <f t="shared" si="22"/>
        <v>45596</v>
      </c>
      <c r="X60" s="144">
        <f t="shared" si="6"/>
        <v>2024</v>
      </c>
      <c r="Y60" s="22">
        <f t="shared" si="7"/>
        <v>40000</v>
      </c>
      <c r="Z60" s="132">
        <f t="shared" si="8"/>
        <v>1760000</v>
      </c>
      <c r="AA60" s="135"/>
      <c r="AB60" s="136">
        <f aca="true" t="shared" si="26" ref="AB60:AB69">IF(O60="","",IF(AND(MONTH(D$6)=MONTH(O60)),YEAR(O60)-YEAR(D$6)&amp;"歳誕生月",""))</f>
      </c>
      <c r="AC60" s="136">
        <f t="shared" si="10"/>
      </c>
      <c r="AD60" s="136" t="str">
        <f t="shared" si="11"/>
        <v>6歳誕生月</v>
      </c>
    </row>
    <row r="61" spans="6:30" ht="16.5" customHeight="1">
      <c r="F61" s="210">
        <f t="shared" si="12"/>
        <v>56</v>
      </c>
      <c r="G61" s="28">
        <f t="shared" si="1"/>
        <v>45596</v>
      </c>
      <c r="H61" s="29">
        <f t="shared" si="2"/>
        <v>45596</v>
      </c>
      <c r="I61" s="22">
        <f t="shared" si="23"/>
        <v>50000</v>
      </c>
      <c r="J61" s="30">
        <f t="shared" si="13"/>
        <v>45596</v>
      </c>
      <c r="K61" s="23">
        <f t="shared" si="24"/>
      </c>
      <c r="L61" s="29">
        <f t="shared" si="14"/>
        <v>45596</v>
      </c>
      <c r="M61" s="22">
        <f t="shared" si="15"/>
        <v>50000</v>
      </c>
      <c r="N61" s="23">
        <f t="shared" si="21"/>
      </c>
      <c r="O61" s="29">
        <f t="shared" si="3"/>
        <v>45596</v>
      </c>
      <c r="P61" s="22">
        <f t="shared" si="16"/>
        <v>50000</v>
      </c>
      <c r="Q61" s="23">
        <f t="shared" si="17"/>
      </c>
      <c r="R61" s="24">
        <f t="shared" si="18"/>
        <v>150000</v>
      </c>
      <c r="S61" s="211">
        <f t="shared" si="25"/>
        <v>2024</v>
      </c>
      <c r="T61" s="39"/>
      <c r="V61" s="25">
        <f t="shared" si="5"/>
        <v>57</v>
      </c>
      <c r="W61" s="26">
        <f t="shared" si="22"/>
        <v>45626</v>
      </c>
      <c r="X61" s="144">
        <f t="shared" si="6"/>
        <v>2024</v>
      </c>
      <c r="Y61" s="22">
        <f t="shared" si="7"/>
        <v>40000</v>
      </c>
      <c r="Z61" s="132">
        <f t="shared" si="8"/>
        <v>1720000</v>
      </c>
      <c r="AA61" s="135"/>
      <c r="AB61" s="136">
        <f t="shared" si="26"/>
      </c>
      <c r="AC61" s="136">
        <f t="shared" si="10"/>
      </c>
      <c r="AD61" s="136">
        <f t="shared" si="11"/>
      </c>
    </row>
    <row r="62" spans="6:30" ht="16.5" customHeight="1">
      <c r="F62" s="210">
        <f t="shared" si="12"/>
        <v>57</v>
      </c>
      <c r="G62" s="28">
        <f t="shared" si="1"/>
        <v>45626</v>
      </c>
      <c r="H62" s="29">
        <f t="shared" si="2"/>
        <v>45626</v>
      </c>
      <c r="I62" s="22">
        <f t="shared" si="23"/>
        <v>50000</v>
      </c>
      <c r="J62" s="30">
        <f t="shared" si="13"/>
        <v>45626</v>
      </c>
      <c r="K62" s="23">
        <f t="shared" si="24"/>
      </c>
      <c r="L62" s="29">
        <f t="shared" si="14"/>
        <v>45626</v>
      </c>
      <c r="M62" s="22">
        <f t="shared" si="15"/>
        <v>50000</v>
      </c>
      <c r="N62" s="23">
        <f t="shared" si="21"/>
      </c>
      <c r="O62" s="29">
        <f t="shared" si="3"/>
        <v>45626</v>
      </c>
      <c r="P62" s="22">
        <f t="shared" si="16"/>
        <v>50000</v>
      </c>
      <c r="Q62" s="23">
        <f t="shared" si="17"/>
      </c>
      <c r="R62" s="24">
        <f t="shared" si="18"/>
        <v>150000</v>
      </c>
      <c r="S62" s="211">
        <f t="shared" si="25"/>
        <v>2024</v>
      </c>
      <c r="T62" s="39"/>
      <c r="V62" s="25">
        <f t="shared" si="5"/>
        <v>58</v>
      </c>
      <c r="W62" s="26">
        <f t="shared" si="22"/>
        <v>45657</v>
      </c>
      <c r="X62" s="144">
        <f t="shared" si="6"/>
        <v>2024</v>
      </c>
      <c r="Y62" s="22">
        <f t="shared" si="7"/>
        <v>40000</v>
      </c>
      <c r="Z62" s="132">
        <f t="shared" si="8"/>
        <v>1680000</v>
      </c>
      <c r="AA62" s="135"/>
      <c r="AB62" s="136">
        <f t="shared" si="26"/>
      </c>
      <c r="AC62" s="136">
        <f t="shared" si="10"/>
      </c>
      <c r="AD62" s="136">
        <f t="shared" si="11"/>
      </c>
    </row>
    <row r="63" spans="6:30" ht="16.5" customHeight="1">
      <c r="F63" s="210">
        <f t="shared" si="12"/>
        <v>58</v>
      </c>
      <c r="G63" s="28">
        <f t="shared" si="1"/>
        <v>45657</v>
      </c>
      <c r="H63" s="29">
        <f t="shared" si="2"/>
        <v>45657</v>
      </c>
      <c r="I63" s="22">
        <f t="shared" si="23"/>
        <v>50000</v>
      </c>
      <c r="J63" s="30">
        <f t="shared" si="13"/>
        <v>45657</v>
      </c>
      <c r="K63" s="23">
        <f t="shared" si="24"/>
      </c>
      <c r="L63" s="29">
        <f t="shared" si="14"/>
        <v>45657</v>
      </c>
      <c r="M63" s="22">
        <f t="shared" si="15"/>
        <v>50000</v>
      </c>
      <c r="N63" s="23">
        <f t="shared" si="21"/>
      </c>
      <c r="O63" s="29">
        <f t="shared" si="3"/>
        <v>45657</v>
      </c>
      <c r="P63" s="22">
        <f t="shared" si="16"/>
        <v>50000</v>
      </c>
      <c r="Q63" s="23">
        <f t="shared" si="17"/>
      </c>
      <c r="R63" s="24">
        <f t="shared" si="18"/>
        <v>150000</v>
      </c>
      <c r="S63" s="211">
        <f t="shared" si="25"/>
        <v>2024</v>
      </c>
      <c r="T63" s="39"/>
      <c r="V63" s="25">
        <f t="shared" si="5"/>
        <v>59</v>
      </c>
      <c r="W63" s="26">
        <f t="shared" si="22"/>
        <v>45688</v>
      </c>
      <c r="X63" s="144">
        <f t="shared" si="6"/>
        <v>2025</v>
      </c>
      <c r="Y63" s="22">
        <f t="shared" si="7"/>
        <v>40000</v>
      </c>
      <c r="Z63" s="132">
        <f t="shared" si="8"/>
        <v>1640000</v>
      </c>
      <c r="AA63" s="135"/>
      <c r="AB63" s="136">
        <f t="shared" si="26"/>
      </c>
      <c r="AC63" s="136">
        <f t="shared" si="10"/>
      </c>
      <c r="AD63" s="136">
        <f t="shared" si="11"/>
      </c>
    </row>
    <row r="64" spans="6:30" ht="16.5" customHeight="1">
      <c r="F64" s="210">
        <f t="shared" si="12"/>
        <v>59</v>
      </c>
      <c r="G64" s="28">
        <f t="shared" si="1"/>
        <v>45688</v>
      </c>
      <c r="H64" s="29">
        <f t="shared" si="2"/>
        <v>45688</v>
      </c>
      <c r="I64" s="22">
        <f t="shared" si="23"/>
        <v>50000</v>
      </c>
      <c r="J64" s="30">
        <f t="shared" si="13"/>
        <v>45688</v>
      </c>
      <c r="K64" s="23">
        <f t="shared" si="24"/>
      </c>
      <c r="L64" s="29">
        <f t="shared" si="14"/>
        <v>45688</v>
      </c>
      <c r="M64" s="22">
        <f t="shared" si="15"/>
        <v>50000</v>
      </c>
      <c r="N64" s="23">
        <f t="shared" si="21"/>
      </c>
      <c r="O64" s="29">
        <f t="shared" si="3"/>
        <v>45688</v>
      </c>
      <c r="P64" s="22">
        <f t="shared" si="16"/>
        <v>50000</v>
      </c>
      <c r="Q64" s="23">
        <f t="shared" si="17"/>
      </c>
      <c r="R64" s="24">
        <f t="shared" si="18"/>
        <v>150000</v>
      </c>
      <c r="S64" s="211">
        <f t="shared" si="25"/>
        <v>2025</v>
      </c>
      <c r="T64" s="39"/>
      <c r="V64" s="25">
        <f t="shared" si="5"/>
        <v>60</v>
      </c>
      <c r="W64" s="26">
        <f t="shared" si="22"/>
        <v>45716</v>
      </c>
      <c r="X64" s="144">
        <f t="shared" si="6"/>
        <v>2025</v>
      </c>
      <c r="Y64" s="22">
        <f t="shared" si="7"/>
        <v>40000</v>
      </c>
      <c r="Z64" s="132">
        <f t="shared" si="8"/>
        <v>1600000</v>
      </c>
      <c r="AA64" s="135"/>
      <c r="AB64" s="136">
        <f t="shared" si="26"/>
      </c>
      <c r="AC64" s="136">
        <f t="shared" si="10"/>
      </c>
      <c r="AD64" s="136">
        <f t="shared" si="11"/>
      </c>
    </row>
    <row r="65" spans="6:30" ht="16.5" customHeight="1">
      <c r="F65" s="210">
        <f t="shared" si="12"/>
        <v>60</v>
      </c>
      <c r="G65" s="28">
        <f t="shared" si="1"/>
        <v>45716</v>
      </c>
      <c r="H65" s="29">
        <f t="shared" si="2"/>
        <v>45716</v>
      </c>
      <c r="I65" s="22">
        <f t="shared" si="23"/>
        <v>50000</v>
      </c>
      <c r="J65" s="30">
        <f t="shared" si="13"/>
        <v>45716</v>
      </c>
      <c r="K65" s="23">
        <f t="shared" si="24"/>
      </c>
      <c r="L65" s="29">
        <f t="shared" si="14"/>
        <v>45716</v>
      </c>
      <c r="M65" s="22">
        <f t="shared" si="15"/>
        <v>50000</v>
      </c>
      <c r="N65" s="23">
        <f t="shared" si="21"/>
      </c>
      <c r="O65" s="29">
        <f t="shared" si="3"/>
        <v>45716</v>
      </c>
      <c r="P65" s="22">
        <f t="shared" si="16"/>
        <v>50000</v>
      </c>
      <c r="Q65" s="23">
        <f t="shared" si="17"/>
      </c>
      <c r="R65" s="24">
        <f t="shared" si="18"/>
        <v>150000</v>
      </c>
      <c r="S65" s="211">
        <f t="shared" si="25"/>
        <v>2025</v>
      </c>
      <c r="T65" s="39"/>
      <c r="V65" s="25">
        <f t="shared" si="5"/>
        <v>61</v>
      </c>
      <c r="W65" s="26">
        <f t="shared" si="22"/>
        <v>45747</v>
      </c>
      <c r="X65" s="144">
        <f t="shared" si="6"/>
        <v>2025</v>
      </c>
      <c r="Y65" s="22">
        <f t="shared" si="7"/>
        <v>40000</v>
      </c>
      <c r="Z65" s="132">
        <f t="shared" si="8"/>
        <v>1560000</v>
      </c>
      <c r="AA65" s="135"/>
      <c r="AB65" s="136">
        <f t="shared" si="26"/>
      </c>
      <c r="AC65" s="136">
        <f t="shared" si="10"/>
      </c>
      <c r="AD65" s="136">
        <f t="shared" si="11"/>
      </c>
    </row>
    <row r="66" spans="6:30" ht="16.5" customHeight="1">
      <c r="F66" s="210">
        <f t="shared" si="12"/>
        <v>61</v>
      </c>
      <c r="G66" s="28">
        <f t="shared" si="1"/>
        <v>45747</v>
      </c>
      <c r="H66" s="29">
        <f t="shared" si="2"/>
        <v>45747</v>
      </c>
      <c r="I66" s="22">
        <f t="shared" si="23"/>
        <v>50000</v>
      </c>
      <c r="J66" s="30">
        <f t="shared" si="13"/>
        <v>45747</v>
      </c>
      <c r="K66" s="23" t="str">
        <f t="shared" si="24"/>
        <v>１人目中学卒業</v>
      </c>
      <c r="L66" s="29">
        <f t="shared" si="14"/>
        <v>45747</v>
      </c>
      <c r="M66" s="22">
        <f t="shared" si="15"/>
        <v>50000</v>
      </c>
      <c r="N66" s="23">
        <f t="shared" si="21"/>
      </c>
      <c r="O66" s="29">
        <f t="shared" si="3"/>
        <v>45747</v>
      </c>
      <c r="P66" s="22">
        <f t="shared" si="16"/>
        <v>50000</v>
      </c>
      <c r="Q66" s="23">
        <f t="shared" si="17"/>
      </c>
      <c r="R66" s="24">
        <f t="shared" si="18"/>
        <v>150000</v>
      </c>
      <c r="S66" s="211">
        <f t="shared" si="25"/>
        <v>2025</v>
      </c>
      <c r="T66" s="39"/>
      <c r="V66" s="25">
        <f t="shared" si="5"/>
        <v>62</v>
      </c>
      <c r="W66" s="26">
        <f t="shared" si="22"/>
        <v>45777</v>
      </c>
      <c r="X66" s="144">
        <f t="shared" si="6"/>
        <v>2025</v>
      </c>
      <c r="Y66" s="22">
        <f t="shared" si="7"/>
        <v>40000</v>
      </c>
      <c r="Z66" s="132">
        <f t="shared" si="8"/>
        <v>1520000</v>
      </c>
      <c r="AA66" s="135"/>
      <c r="AB66" s="136">
        <f t="shared" si="26"/>
      </c>
      <c r="AC66" s="136">
        <f t="shared" si="10"/>
      </c>
      <c r="AD66" s="136">
        <f t="shared" si="11"/>
      </c>
    </row>
    <row r="67" spans="6:30" ht="16.5" customHeight="1">
      <c r="F67" s="210">
        <f t="shared" si="12"/>
        <v>62</v>
      </c>
      <c r="G67" s="28">
        <f t="shared" si="1"/>
        <v>45777</v>
      </c>
      <c r="H67" s="29">
        <f t="shared" si="2"/>
        <v>45777</v>
      </c>
      <c r="I67" s="22">
        <f t="shared" si="23"/>
        <v>50000</v>
      </c>
      <c r="J67" s="30">
        <f t="shared" si="13"/>
        <v>45777</v>
      </c>
      <c r="K67" s="23">
        <f t="shared" si="24"/>
      </c>
      <c r="L67" s="29">
        <f t="shared" si="14"/>
        <v>45777</v>
      </c>
      <c r="M67" s="22">
        <f t="shared" si="15"/>
        <v>50000</v>
      </c>
      <c r="N67" s="23">
        <f t="shared" si="21"/>
      </c>
      <c r="O67" s="29">
        <f t="shared" si="3"/>
        <v>45777</v>
      </c>
      <c r="P67" s="22">
        <f t="shared" si="16"/>
        <v>50000</v>
      </c>
      <c r="Q67" s="23">
        <f t="shared" si="17"/>
      </c>
      <c r="R67" s="24">
        <f t="shared" si="18"/>
        <v>150000</v>
      </c>
      <c r="S67" s="211">
        <f t="shared" si="25"/>
        <v>2025</v>
      </c>
      <c r="T67" s="39"/>
      <c r="V67" s="25">
        <f t="shared" si="5"/>
        <v>63</v>
      </c>
      <c r="W67" s="26">
        <f t="shared" si="22"/>
        <v>45808</v>
      </c>
      <c r="X67" s="144">
        <f t="shared" si="6"/>
        <v>2025</v>
      </c>
      <c r="Y67" s="22">
        <f t="shared" si="7"/>
        <v>40000</v>
      </c>
      <c r="Z67" s="132">
        <f t="shared" si="8"/>
        <v>1480000</v>
      </c>
      <c r="AA67" s="135"/>
      <c r="AB67" s="136">
        <f t="shared" si="26"/>
      </c>
      <c r="AC67" s="136">
        <f t="shared" si="10"/>
      </c>
      <c r="AD67" s="136">
        <f t="shared" si="11"/>
      </c>
    </row>
    <row r="68" spans="6:30" ht="16.5" customHeight="1">
      <c r="F68" s="210">
        <f t="shared" si="12"/>
        <v>63</v>
      </c>
      <c r="G68" s="28">
        <f t="shared" si="1"/>
        <v>45808</v>
      </c>
      <c r="H68" s="29">
        <f t="shared" si="2"/>
        <v>45808</v>
      </c>
      <c r="I68" s="22">
        <f t="shared" si="23"/>
        <v>50000</v>
      </c>
      <c r="J68" s="30">
        <f t="shared" si="13"/>
        <v>45808</v>
      </c>
      <c r="K68" s="23">
        <f t="shared" si="24"/>
      </c>
      <c r="L68" s="29">
        <f t="shared" si="14"/>
        <v>45808</v>
      </c>
      <c r="M68" s="22">
        <f t="shared" si="15"/>
        <v>50000</v>
      </c>
      <c r="N68" s="23" t="str">
        <f t="shared" si="21"/>
        <v>12歳誕生月</v>
      </c>
      <c r="O68" s="29">
        <f t="shared" si="3"/>
        <v>45808</v>
      </c>
      <c r="P68" s="22">
        <f t="shared" si="16"/>
        <v>50000</v>
      </c>
      <c r="Q68" s="23">
        <f t="shared" si="17"/>
      </c>
      <c r="R68" s="24">
        <f t="shared" si="18"/>
        <v>150000</v>
      </c>
      <c r="S68" s="211">
        <f t="shared" si="25"/>
        <v>2025</v>
      </c>
      <c r="T68" s="39"/>
      <c r="V68" s="25">
        <f t="shared" si="5"/>
        <v>64</v>
      </c>
      <c r="W68" s="26">
        <f t="shared" si="22"/>
        <v>45838</v>
      </c>
      <c r="X68" s="144">
        <f t="shared" si="6"/>
        <v>2025</v>
      </c>
      <c r="Y68" s="22">
        <f t="shared" si="7"/>
        <v>40000</v>
      </c>
      <c r="Z68" s="132">
        <f t="shared" si="8"/>
        <v>1440000</v>
      </c>
      <c r="AA68" s="135"/>
      <c r="AB68" s="136">
        <f t="shared" si="26"/>
      </c>
      <c r="AC68" s="136" t="str">
        <f t="shared" si="10"/>
        <v>12歳誕生月</v>
      </c>
      <c r="AD68" s="136">
        <f t="shared" si="11"/>
      </c>
    </row>
    <row r="69" spans="6:30" ht="16.5" customHeight="1">
      <c r="F69" s="210">
        <f t="shared" si="12"/>
        <v>64</v>
      </c>
      <c r="G69" s="28">
        <f t="shared" si="1"/>
        <v>45838</v>
      </c>
      <c r="H69" s="29">
        <f t="shared" si="2"/>
        <v>45838</v>
      </c>
      <c r="I69" s="22">
        <f t="shared" si="23"/>
        <v>50000</v>
      </c>
      <c r="J69" s="30">
        <f t="shared" si="13"/>
        <v>45838</v>
      </c>
      <c r="K69" s="23" t="str">
        <f t="shared" si="24"/>
        <v>16歳誕生月</v>
      </c>
      <c r="L69" s="29">
        <f t="shared" si="14"/>
        <v>45838</v>
      </c>
      <c r="M69" s="22">
        <f t="shared" si="15"/>
        <v>50000</v>
      </c>
      <c r="N69" s="23">
        <f t="shared" si="21"/>
      </c>
      <c r="O69" s="29">
        <f t="shared" si="3"/>
        <v>45838</v>
      </c>
      <c r="P69" s="22">
        <f t="shared" si="16"/>
        <v>50000</v>
      </c>
      <c r="Q69" s="23">
        <f t="shared" si="17"/>
      </c>
      <c r="R69" s="24">
        <f t="shared" si="18"/>
        <v>150000</v>
      </c>
      <c r="S69" s="211">
        <f t="shared" si="25"/>
        <v>2025</v>
      </c>
      <c r="T69" s="39"/>
      <c r="V69" s="25">
        <f t="shared" si="5"/>
        <v>65</v>
      </c>
      <c r="W69" s="26">
        <f aca="true" t="shared" si="27" ref="W69:W104">H70</f>
        <v>45869</v>
      </c>
      <c r="X69" s="144">
        <f t="shared" si="6"/>
        <v>2025</v>
      </c>
      <c r="Y69" s="22">
        <f t="shared" si="7"/>
        <v>40000</v>
      </c>
      <c r="Z69" s="132">
        <f t="shared" si="8"/>
        <v>1400000</v>
      </c>
      <c r="AA69" s="135"/>
      <c r="AB69" s="136" t="str">
        <f t="shared" si="26"/>
        <v>16歳誕生月</v>
      </c>
      <c r="AC69" s="136">
        <f t="shared" si="10"/>
      </c>
      <c r="AD69" s="136">
        <f t="shared" si="11"/>
      </c>
    </row>
    <row r="70" spans="6:30" ht="16.5" customHeight="1">
      <c r="F70" s="210">
        <f t="shared" si="12"/>
        <v>65</v>
      </c>
      <c r="G70" s="28">
        <f t="shared" si="1"/>
        <v>45869</v>
      </c>
      <c r="H70" s="29">
        <f t="shared" si="2"/>
        <v>45869</v>
      </c>
      <c r="I70" s="22">
        <f t="shared" si="19"/>
        <v>50000</v>
      </c>
      <c r="J70" s="30">
        <f t="shared" si="13"/>
        <v>45869</v>
      </c>
      <c r="K70" s="23">
        <f t="shared" si="20"/>
      </c>
      <c r="L70" s="29">
        <f t="shared" si="14"/>
        <v>45869</v>
      </c>
      <c r="M70" s="22">
        <f t="shared" si="15"/>
        <v>50000</v>
      </c>
      <c r="N70" s="23">
        <f t="shared" si="21"/>
      </c>
      <c r="O70" s="29">
        <f t="shared" si="3"/>
        <v>45869</v>
      </c>
      <c r="P70" s="22">
        <f t="shared" si="16"/>
        <v>50000</v>
      </c>
      <c r="Q70" s="23">
        <f t="shared" si="17"/>
      </c>
      <c r="R70" s="24">
        <f t="shared" si="18"/>
        <v>150000</v>
      </c>
      <c r="S70" s="211">
        <f aca="true" t="shared" si="28" ref="S70:S133">IF(AND(H70="",L70=""),"",IF(ISERROR(YEAR(H70)),YEAR(L70),YEAR(H70)))</f>
        <v>2025</v>
      </c>
      <c r="T70" s="39"/>
      <c r="V70" s="25">
        <f t="shared" si="5"/>
        <v>66</v>
      </c>
      <c r="W70" s="26">
        <f t="shared" si="27"/>
        <v>45900</v>
      </c>
      <c r="X70" s="144">
        <f t="shared" si="6"/>
        <v>2025</v>
      </c>
      <c r="Y70" s="22">
        <f t="shared" si="7"/>
        <v>40000</v>
      </c>
      <c r="Z70" s="132">
        <f t="shared" si="8"/>
        <v>1360000</v>
      </c>
      <c r="AA70" s="135"/>
      <c r="AB70" s="136">
        <f t="shared" si="9"/>
      </c>
      <c r="AC70" s="136">
        <f t="shared" si="10"/>
      </c>
      <c r="AD70" s="136">
        <f t="shared" si="11"/>
      </c>
    </row>
    <row r="71" spans="6:30" ht="16.5" customHeight="1">
      <c r="F71" s="210">
        <f t="shared" si="12"/>
        <v>66</v>
      </c>
      <c r="G71" s="28">
        <f aca="true" t="shared" si="29" ref="G71:G134">IF(OR(G70="",AND(G70&gt;D$11,J70&gt;D$27)),"",DATE(YEAR(G$6),MONTH(G$6)+F70+IF(OR(D$9="末",D$9=31),1,0),IF(OR(D$9="末",D$9=31),0,D$9)))</f>
        <v>45900</v>
      </c>
      <c r="H71" s="29">
        <f aca="true" t="shared" si="30" ref="H71:H116">IF(H70="","",IF(G71&gt;DATE(YEAR(D$11),MONTH(D$11)+1,0),"",IF(DAY(G71)&lt;&gt;D$9,DATE(YEAR(G71),MONTH(G71)+1,0),G71)))</f>
        <v>45900</v>
      </c>
      <c r="I71" s="22">
        <f t="shared" si="19"/>
        <v>50000</v>
      </c>
      <c r="J71" s="30">
        <f t="shared" si="13"/>
        <v>45900</v>
      </c>
      <c r="K71" s="23">
        <f t="shared" si="20"/>
      </c>
      <c r="L71" s="29">
        <f t="shared" si="14"/>
        <v>45900</v>
      </c>
      <c r="M71" s="22">
        <f t="shared" si="15"/>
        <v>50000</v>
      </c>
      <c r="N71" s="23">
        <f t="shared" si="21"/>
      </c>
      <c r="O71" s="29">
        <f aca="true" t="shared" si="31" ref="O71:O134">IF(O70="","",IF(DATE(YEAR(D$43),MONTH(D$43)+1,DAY(0))&lt;=DATE(YEAR(O70),MONTH(O70)+1,DAY(0)),"",IF($D$41="末",DATE(YEAR(O70),MONTH(O70)+2,DAY(0)),DATE(YEAR(O70),MONTH(O70)+1,DAY(O70)))))</f>
        <v>45900</v>
      </c>
      <c r="P71" s="22">
        <f t="shared" si="16"/>
        <v>50000</v>
      </c>
      <c r="Q71" s="23">
        <f t="shared" si="17"/>
      </c>
      <c r="R71" s="24">
        <f t="shared" si="18"/>
        <v>150000</v>
      </c>
      <c r="S71" s="211">
        <f t="shared" si="28"/>
        <v>2025</v>
      </c>
      <c r="T71" s="39"/>
      <c r="V71" s="25">
        <f aca="true" t="shared" si="32" ref="V71:V104">V70+1</f>
        <v>67</v>
      </c>
      <c r="W71" s="26">
        <f t="shared" si="27"/>
        <v>45930</v>
      </c>
      <c r="X71" s="144">
        <f aca="true" t="shared" si="33" ref="X71:X104">IF(W71="","",YEAR(W71))</f>
        <v>2025</v>
      </c>
      <c r="Y71" s="22">
        <f aca="true" t="shared" si="34" ref="Y71:Y104">Y70</f>
        <v>40000</v>
      </c>
      <c r="Z71" s="132">
        <f aca="true" t="shared" si="35" ref="Z71:Z104">Z70-Y71</f>
        <v>1320000</v>
      </c>
      <c r="AA71" s="135"/>
      <c r="AB71" s="136">
        <f aca="true" t="shared" si="36" ref="AB71:AB134">IF(H71="","",IF(AND(MONTH(D$6)=MONTH(H71)),YEAR(H71)-YEAR(D$6)&amp;"歳誕生月",""))</f>
      </c>
      <c r="AC71" s="136">
        <f aca="true" t="shared" si="37" ref="AC71:AC134">IF(L71="","",IF(AND(MONTH(D$22)=MONTH(L71)),YEAR(L71)-YEAR(D$22)&amp;"歳誕生月",""))</f>
      </c>
      <c r="AD71" s="136">
        <f aca="true" t="shared" si="38" ref="AD71:AD134">IF(O71="","",IF(AND(MONTH(D$38)=MONTH(O71)),YEAR(O71)-YEAR(D$38)&amp;"歳誕生月",""))</f>
      </c>
    </row>
    <row r="72" spans="6:30" ht="16.5" customHeight="1">
      <c r="F72" s="210">
        <f aca="true" t="shared" si="39" ref="F72:F135">F71+1</f>
        <v>67</v>
      </c>
      <c r="G72" s="28">
        <f t="shared" si="29"/>
        <v>45930</v>
      </c>
      <c r="H72" s="29">
        <f t="shared" si="30"/>
        <v>45930</v>
      </c>
      <c r="I72" s="22">
        <f t="shared" si="19"/>
        <v>50000</v>
      </c>
      <c r="J72" s="30">
        <f aca="true" t="shared" si="40" ref="J72:J135">IF(OR(J71="",J71&gt;D$27),"",DATE(YEAR(J$6),MONTH(J$6)+F71+IF(OR(D$25="末",D$25=31),1,0),IF(OR(D$25="末",D$25=31),0,D$25)))</f>
        <v>45930</v>
      </c>
      <c r="K72" s="23">
        <f t="shared" si="20"/>
      </c>
      <c r="L72" s="29">
        <f aca="true" t="shared" si="41" ref="L72:L135">IF(L71="","",IF(AND(J72&gt;DATE(YEAR(D$27),MONTH(D$27)+1,0),J72&gt;D$11),"",IF(DAY(J72)&lt;&gt;D$25,DATE(YEAR(J72),MONTH(J72)+1,0),J72)))</f>
        <v>45930</v>
      </c>
      <c r="M72" s="22">
        <f aca="true" t="shared" si="42" ref="M72:M135">IF(L72="","",IF(AND(D$28&lt;&gt;0,L72&gt;D$28),D$29,M71))</f>
        <v>50000</v>
      </c>
      <c r="N72" s="23">
        <f t="shared" si="21"/>
      </c>
      <c r="O72" s="29">
        <f t="shared" si="31"/>
        <v>45930</v>
      </c>
      <c r="P72" s="22">
        <f aca="true" t="shared" si="43" ref="P72:P135">IF(O72="","",IF(AND(D$44&lt;&gt;0,O72&gt;D$44),D$45,P71))</f>
        <v>50000</v>
      </c>
      <c r="Q72" s="23" t="str">
        <f aca="true" t="shared" si="44" ref="Q72:Q135">IF(O72="","",AD72)</f>
        <v>7歳誕生月</v>
      </c>
      <c r="R72" s="24">
        <f aca="true" t="shared" si="45" ref="R72:R135">IF(I72="",0,I72)+IF(M72="",0,M72)+IF(P72="",0,P72)</f>
        <v>150000</v>
      </c>
      <c r="S72" s="211">
        <f t="shared" si="28"/>
        <v>2025</v>
      </c>
      <c r="T72" s="39"/>
      <c r="V72" s="25">
        <f t="shared" si="32"/>
        <v>68</v>
      </c>
      <c r="W72" s="26">
        <f t="shared" si="27"/>
        <v>45961</v>
      </c>
      <c r="X72" s="144">
        <f t="shared" si="33"/>
        <v>2025</v>
      </c>
      <c r="Y72" s="22">
        <f t="shared" si="34"/>
        <v>40000</v>
      </c>
      <c r="Z72" s="132">
        <f t="shared" si="35"/>
        <v>1280000</v>
      </c>
      <c r="AA72" s="135"/>
      <c r="AB72" s="136">
        <f t="shared" si="36"/>
      </c>
      <c r="AC72" s="136">
        <f t="shared" si="37"/>
      </c>
      <c r="AD72" s="136" t="str">
        <f t="shared" si="38"/>
        <v>7歳誕生月</v>
      </c>
    </row>
    <row r="73" spans="6:30" ht="16.5" customHeight="1">
      <c r="F73" s="210">
        <f t="shared" si="39"/>
        <v>68</v>
      </c>
      <c r="G73" s="28">
        <f t="shared" si="29"/>
        <v>45961</v>
      </c>
      <c r="H73" s="29">
        <f t="shared" si="30"/>
        <v>45961</v>
      </c>
      <c r="I73" s="22">
        <f aca="true" t="shared" si="46" ref="I73:I136">IF(H73="","",IF(AND(D$12&lt;&gt;0,H73&gt;D$12),D$13,I72))</f>
        <v>50000</v>
      </c>
      <c r="J73" s="30">
        <f t="shared" si="40"/>
        <v>45961</v>
      </c>
      <c r="K73" s="23">
        <f aca="true" t="shared" si="47" ref="K73:K136">IF(H73="","",IF(AND(YEAR(H73)=YEAR(D$15),MONTH(H73)=MONTH(D$15)),B$15,IF(AND(YEAR(H73)=YEAR(D$16),MONTH(H73)=MONTH(D$16)),B$16,IF(AND(YEAR(H73)=YEAR(D$17),MONTH(H73)=MONTH(D$17)),B$17,IF(AND(YEAR(H73)=YEAR(D$19),MONTH(H73)=MONTH(D$19)),B$19,IF(AND(YEAR(H73)=YEAR(D$18),MONTH(H73)=MONTH(D$18)),B$18,AB73))))))</f>
      </c>
      <c r="L73" s="29">
        <f t="shared" si="41"/>
        <v>45961</v>
      </c>
      <c r="M73" s="22">
        <f t="shared" si="42"/>
        <v>50000</v>
      </c>
      <c r="N73" s="23">
        <f aca="true" t="shared" si="48" ref="N73:N136">IF(L73="","",IF(AND(YEAR(L73)=YEAR(D$31),MONTH(L73)=MONTH(D$31)),B$31,IF(AND(YEAR(L73)=YEAR(D$32),MONTH(L73)=MONTH(D$32)),B$32,IF(AND(YEAR(L73)=YEAR(D$33),MONTH(L73)=MONTH(D$33)),B$33,IF(AND(YEAR(L73)=YEAR(D$35),MONTH(L73)=MONTH(D$35)),B$35,IF(AND(YEAR(L73)=YEAR(D$34),MONTH(L73)=MONTH(D$34)),B$34,AC73))))))</f>
      </c>
      <c r="O73" s="29">
        <f t="shared" si="31"/>
        <v>45961</v>
      </c>
      <c r="P73" s="22">
        <f t="shared" si="43"/>
        <v>50000</v>
      </c>
      <c r="Q73" s="23">
        <f t="shared" si="44"/>
      </c>
      <c r="R73" s="24">
        <f t="shared" si="45"/>
        <v>150000</v>
      </c>
      <c r="S73" s="211">
        <f t="shared" si="28"/>
        <v>2025</v>
      </c>
      <c r="T73" s="39"/>
      <c r="V73" s="25">
        <f t="shared" si="32"/>
        <v>69</v>
      </c>
      <c r="W73" s="26">
        <f t="shared" si="27"/>
        <v>45991</v>
      </c>
      <c r="X73" s="144">
        <f t="shared" si="33"/>
        <v>2025</v>
      </c>
      <c r="Y73" s="22">
        <f t="shared" si="34"/>
        <v>40000</v>
      </c>
      <c r="Z73" s="132">
        <f t="shared" si="35"/>
        <v>1240000</v>
      </c>
      <c r="AA73" s="135"/>
      <c r="AB73" s="136">
        <f t="shared" si="36"/>
      </c>
      <c r="AC73" s="136">
        <f t="shared" si="37"/>
      </c>
      <c r="AD73" s="136">
        <f t="shared" si="38"/>
      </c>
    </row>
    <row r="74" spans="6:30" ht="16.5" customHeight="1">
      <c r="F74" s="210">
        <f t="shared" si="39"/>
        <v>69</v>
      </c>
      <c r="G74" s="28">
        <f t="shared" si="29"/>
        <v>45991</v>
      </c>
      <c r="H74" s="29">
        <f t="shared" si="30"/>
        <v>45991</v>
      </c>
      <c r="I74" s="22">
        <f t="shared" si="46"/>
        <v>50000</v>
      </c>
      <c r="J74" s="30">
        <f t="shared" si="40"/>
        <v>45991</v>
      </c>
      <c r="K74" s="23">
        <f t="shared" si="47"/>
      </c>
      <c r="L74" s="29">
        <f t="shared" si="41"/>
        <v>45991</v>
      </c>
      <c r="M74" s="22">
        <f t="shared" si="42"/>
        <v>50000</v>
      </c>
      <c r="N74" s="23">
        <f t="shared" si="48"/>
      </c>
      <c r="O74" s="29">
        <f t="shared" si="31"/>
        <v>45991</v>
      </c>
      <c r="P74" s="22">
        <f t="shared" si="43"/>
        <v>50000</v>
      </c>
      <c r="Q74" s="23">
        <f t="shared" si="44"/>
      </c>
      <c r="R74" s="24">
        <f t="shared" si="45"/>
        <v>150000</v>
      </c>
      <c r="S74" s="211">
        <f t="shared" si="28"/>
        <v>2025</v>
      </c>
      <c r="T74" s="39"/>
      <c r="V74" s="25">
        <f t="shared" si="32"/>
        <v>70</v>
      </c>
      <c r="W74" s="26">
        <f t="shared" si="27"/>
        <v>46022</v>
      </c>
      <c r="X74" s="144">
        <f t="shared" si="33"/>
        <v>2025</v>
      </c>
      <c r="Y74" s="22">
        <f t="shared" si="34"/>
        <v>40000</v>
      </c>
      <c r="Z74" s="132">
        <f t="shared" si="35"/>
        <v>1200000</v>
      </c>
      <c r="AA74" s="135"/>
      <c r="AB74" s="136">
        <f t="shared" si="36"/>
      </c>
      <c r="AC74" s="136">
        <f t="shared" si="37"/>
      </c>
      <c r="AD74" s="136">
        <f t="shared" si="38"/>
      </c>
    </row>
    <row r="75" spans="6:30" ht="16.5" customHeight="1">
      <c r="F75" s="210">
        <f t="shared" si="39"/>
        <v>70</v>
      </c>
      <c r="G75" s="28">
        <f t="shared" si="29"/>
        <v>46022</v>
      </c>
      <c r="H75" s="29">
        <f t="shared" si="30"/>
        <v>46022</v>
      </c>
      <c r="I75" s="22">
        <f t="shared" si="46"/>
        <v>50000</v>
      </c>
      <c r="J75" s="30">
        <f t="shared" si="40"/>
        <v>46022</v>
      </c>
      <c r="K75" s="23">
        <f t="shared" si="47"/>
      </c>
      <c r="L75" s="29">
        <f t="shared" si="41"/>
        <v>46022</v>
      </c>
      <c r="M75" s="22">
        <f t="shared" si="42"/>
        <v>50000</v>
      </c>
      <c r="N75" s="23">
        <f t="shared" si="48"/>
      </c>
      <c r="O75" s="29">
        <f t="shared" si="31"/>
        <v>46022</v>
      </c>
      <c r="P75" s="22">
        <f t="shared" si="43"/>
        <v>50000</v>
      </c>
      <c r="Q75" s="23">
        <f t="shared" si="44"/>
      </c>
      <c r="R75" s="24">
        <f t="shared" si="45"/>
        <v>150000</v>
      </c>
      <c r="S75" s="211">
        <f t="shared" si="28"/>
        <v>2025</v>
      </c>
      <c r="T75" s="39"/>
      <c r="V75" s="25">
        <f t="shared" si="32"/>
        <v>71</v>
      </c>
      <c r="W75" s="26">
        <f t="shared" si="27"/>
        <v>46053</v>
      </c>
      <c r="X75" s="144">
        <f t="shared" si="33"/>
        <v>2026</v>
      </c>
      <c r="Y75" s="22">
        <f t="shared" si="34"/>
        <v>40000</v>
      </c>
      <c r="Z75" s="132">
        <f t="shared" si="35"/>
        <v>1160000</v>
      </c>
      <c r="AA75" s="135"/>
      <c r="AB75" s="136">
        <f t="shared" si="36"/>
      </c>
      <c r="AC75" s="136">
        <f t="shared" si="37"/>
      </c>
      <c r="AD75" s="136">
        <f t="shared" si="38"/>
      </c>
    </row>
    <row r="76" spans="6:30" ht="16.5" customHeight="1">
      <c r="F76" s="210">
        <f t="shared" si="39"/>
        <v>71</v>
      </c>
      <c r="G76" s="28">
        <f t="shared" si="29"/>
        <v>46053</v>
      </c>
      <c r="H76" s="29">
        <f t="shared" si="30"/>
        <v>46053</v>
      </c>
      <c r="I76" s="22">
        <f t="shared" si="46"/>
        <v>50000</v>
      </c>
      <c r="J76" s="30">
        <f t="shared" si="40"/>
        <v>46053</v>
      </c>
      <c r="K76" s="23">
        <f t="shared" si="47"/>
      </c>
      <c r="L76" s="29">
        <f t="shared" si="41"/>
        <v>46053</v>
      </c>
      <c r="M76" s="22">
        <f t="shared" si="42"/>
        <v>50000</v>
      </c>
      <c r="N76" s="23">
        <f t="shared" si="48"/>
      </c>
      <c r="O76" s="29">
        <f t="shared" si="31"/>
        <v>46053</v>
      </c>
      <c r="P76" s="22">
        <f t="shared" si="43"/>
        <v>50000</v>
      </c>
      <c r="Q76" s="23">
        <f t="shared" si="44"/>
      </c>
      <c r="R76" s="24">
        <f t="shared" si="45"/>
        <v>150000</v>
      </c>
      <c r="S76" s="211">
        <f t="shared" si="28"/>
        <v>2026</v>
      </c>
      <c r="T76" s="39"/>
      <c r="V76" s="25">
        <f t="shared" si="32"/>
        <v>72</v>
      </c>
      <c r="W76" s="26">
        <f t="shared" si="27"/>
        <v>46081</v>
      </c>
      <c r="X76" s="144">
        <f t="shared" si="33"/>
        <v>2026</v>
      </c>
      <c r="Y76" s="22">
        <f t="shared" si="34"/>
        <v>40000</v>
      </c>
      <c r="Z76" s="132">
        <f t="shared" si="35"/>
        <v>1120000</v>
      </c>
      <c r="AA76" s="135"/>
      <c r="AB76" s="136">
        <f t="shared" si="36"/>
      </c>
      <c r="AC76" s="136">
        <f t="shared" si="37"/>
      </c>
      <c r="AD76" s="136">
        <f t="shared" si="38"/>
      </c>
    </row>
    <row r="77" spans="6:30" ht="16.5" customHeight="1">
      <c r="F77" s="210">
        <f t="shared" si="39"/>
        <v>72</v>
      </c>
      <c r="G77" s="28">
        <f t="shared" si="29"/>
        <v>46081</v>
      </c>
      <c r="H77" s="29">
        <f t="shared" si="30"/>
        <v>46081</v>
      </c>
      <c r="I77" s="22">
        <f t="shared" si="46"/>
        <v>50000</v>
      </c>
      <c r="J77" s="30">
        <f t="shared" si="40"/>
        <v>46081</v>
      </c>
      <c r="K77" s="23">
        <f t="shared" si="47"/>
      </c>
      <c r="L77" s="29">
        <f t="shared" si="41"/>
        <v>46081</v>
      </c>
      <c r="M77" s="22">
        <f t="shared" si="42"/>
        <v>50000</v>
      </c>
      <c r="N77" s="23">
        <f t="shared" si="48"/>
      </c>
      <c r="O77" s="29">
        <f t="shared" si="31"/>
        <v>46081</v>
      </c>
      <c r="P77" s="22">
        <f t="shared" si="43"/>
        <v>50000</v>
      </c>
      <c r="Q77" s="23">
        <f t="shared" si="44"/>
      </c>
      <c r="R77" s="24">
        <f t="shared" si="45"/>
        <v>150000</v>
      </c>
      <c r="S77" s="211">
        <f t="shared" si="28"/>
        <v>2026</v>
      </c>
      <c r="T77" s="39"/>
      <c r="V77" s="25">
        <f t="shared" si="32"/>
        <v>73</v>
      </c>
      <c r="W77" s="26">
        <f t="shared" si="27"/>
        <v>46112</v>
      </c>
      <c r="X77" s="144">
        <f t="shared" si="33"/>
        <v>2026</v>
      </c>
      <c r="Y77" s="22">
        <f t="shared" si="34"/>
        <v>40000</v>
      </c>
      <c r="Z77" s="132">
        <f t="shared" si="35"/>
        <v>1080000</v>
      </c>
      <c r="AA77" s="135"/>
      <c r="AB77" s="136">
        <f t="shared" si="36"/>
      </c>
      <c r="AC77" s="136">
        <f t="shared" si="37"/>
      </c>
      <c r="AD77" s="136">
        <f t="shared" si="38"/>
      </c>
    </row>
    <row r="78" spans="6:30" ht="16.5" customHeight="1">
      <c r="F78" s="210">
        <f t="shared" si="39"/>
        <v>73</v>
      </c>
      <c r="G78" s="28">
        <f t="shared" si="29"/>
        <v>46112</v>
      </c>
      <c r="H78" s="29">
        <f t="shared" si="30"/>
        <v>46112</v>
      </c>
      <c r="I78" s="22">
        <f t="shared" si="46"/>
        <v>50000</v>
      </c>
      <c r="J78" s="30">
        <f t="shared" si="40"/>
        <v>46112</v>
      </c>
      <c r="K78" s="23">
        <f t="shared" si="47"/>
      </c>
      <c r="L78" s="29">
        <f t="shared" si="41"/>
        <v>46112</v>
      </c>
      <c r="M78" s="22">
        <f t="shared" si="42"/>
        <v>50000</v>
      </c>
      <c r="N78" s="23">
        <f t="shared" si="48"/>
      </c>
      <c r="O78" s="29">
        <f t="shared" si="31"/>
        <v>46112</v>
      </c>
      <c r="P78" s="22">
        <f t="shared" si="43"/>
        <v>50000</v>
      </c>
      <c r="Q78" s="23">
        <f t="shared" si="44"/>
      </c>
      <c r="R78" s="24">
        <f t="shared" si="45"/>
        <v>150000</v>
      </c>
      <c r="S78" s="211">
        <f t="shared" si="28"/>
        <v>2026</v>
      </c>
      <c r="T78" s="39"/>
      <c r="V78" s="25">
        <f t="shared" si="32"/>
        <v>74</v>
      </c>
      <c r="W78" s="26">
        <f t="shared" si="27"/>
        <v>46142</v>
      </c>
      <c r="X78" s="144">
        <f t="shared" si="33"/>
        <v>2026</v>
      </c>
      <c r="Y78" s="22">
        <f t="shared" si="34"/>
        <v>40000</v>
      </c>
      <c r="Z78" s="132">
        <f t="shared" si="35"/>
        <v>1040000</v>
      </c>
      <c r="AA78" s="135"/>
      <c r="AB78" s="136">
        <f t="shared" si="36"/>
      </c>
      <c r="AC78" s="136">
        <f t="shared" si="37"/>
      </c>
      <c r="AD78" s="136">
        <f t="shared" si="38"/>
      </c>
    </row>
    <row r="79" spans="6:30" ht="16.5" customHeight="1">
      <c r="F79" s="210">
        <f t="shared" si="39"/>
        <v>74</v>
      </c>
      <c r="G79" s="28">
        <f t="shared" si="29"/>
        <v>46142</v>
      </c>
      <c r="H79" s="29">
        <f t="shared" si="30"/>
        <v>46142</v>
      </c>
      <c r="I79" s="22">
        <f t="shared" si="46"/>
        <v>50000</v>
      </c>
      <c r="J79" s="30">
        <f t="shared" si="40"/>
        <v>46142</v>
      </c>
      <c r="K79" s="23">
        <f t="shared" si="47"/>
      </c>
      <c r="L79" s="29">
        <f t="shared" si="41"/>
        <v>46142</v>
      </c>
      <c r="M79" s="22">
        <f t="shared" si="42"/>
        <v>50000</v>
      </c>
      <c r="N79" s="23">
        <f t="shared" si="48"/>
      </c>
      <c r="O79" s="29">
        <f t="shared" si="31"/>
        <v>46142</v>
      </c>
      <c r="P79" s="22">
        <f t="shared" si="43"/>
        <v>50000</v>
      </c>
      <c r="Q79" s="23">
        <f t="shared" si="44"/>
      </c>
      <c r="R79" s="24">
        <f t="shared" si="45"/>
        <v>150000</v>
      </c>
      <c r="S79" s="211">
        <f t="shared" si="28"/>
        <v>2026</v>
      </c>
      <c r="T79" s="39"/>
      <c r="V79" s="25">
        <f t="shared" si="32"/>
        <v>75</v>
      </c>
      <c r="W79" s="26">
        <f t="shared" si="27"/>
        <v>46173</v>
      </c>
      <c r="X79" s="144">
        <f t="shared" si="33"/>
        <v>2026</v>
      </c>
      <c r="Y79" s="22">
        <f t="shared" si="34"/>
        <v>40000</v>
      </c>
      <c r="Z79" s="132">
        <f t="shared" si="35"/>
        <v>1000000</v>
      </c>
      <c r="AA79" s="135"/>
      <c r="AB79" s="136">
        <f t="shared" si="36"/>
      </c>
      <c r="AC79" s="136">
        <f t="shared" si="37"/>
      </c>
      <c r="AD79" s="136">
        <f t="shared" si="38"/>
      </c>
    </row>
    <row r="80" spans="6:30" ht="16.5" customHeight="1">
      <c r="F80" s="210">
        <f t="shared" si="39"/>
        <v>75</v>
      </c>
      <c r="G80" s="28">
        <f t="shared" si="29"/>
        <v>46173</v>
      </c>
      <c r="H80" s="29">
        <f t="shared" si="30"/>
        <v>46173</v>
      </c>
      <c r="I80" s="22">
        <f t="shared" si="46"/>
        <v>50000</v>
      </c>
      <c r="J80" s="30">
        <f t="shared" si="40"/>
        <v>46173</v>
      </c>
      <c r="K80" s="23">
        <f t="shared" si="47"/>
      </c>
      <c r="L80" s="29">
        <f t="shared" si="41"/>
        <v>46173</v>
      </c>
      <c r="M80" s="22">
        <f t="shared" si="42"/>
        <v>50000</v>
      </c>
      <c r="N80" s="23" t="str">
        <f t="shared" si="48"/>
        <v>13歳誕生月</v>
      </c>
      <c r="O80" s="29">
        <f t="shared" si="31"/>
        <v>46173</v>
      </c>
      <c r="P80" s="22">
        <f t="shared" si="43"/>
        <v>50000</v>
      </c>
      <c r="Q80" s="23">
        <f t="shared" si="44"/>
      </c>
      <c r="R80" s="24">
        <f t="shared" si="45"/>
        <v>150000</v>
      </c>
      <c r="S80" s="211">
        <f t="shared" si="28"/>
        <v>2026</v>
      </c>
      <c r="T80" s="39"/>
      <c r="V80" s="25">
        <f t="shared" si="32"/>
        <v>76</v>
      </c>
      <c r="W80" s="26">
        <f t="shared" si="27"/>
        <v>46203</v>
      </c>
      <c r="X80" s="144">
        <f t="shared" si="33"/>
        <v>2026</v>
      </c>
      <c r="Y80" s="22">
        <f t="shared" si="34"/>
        <v>40000</v>
      </c>
      <c r="Z80" s="132">
        <f t="shared" si="35"/>
        <v>960000</v>
      </c>
      <c r="AA80" s="135"/>
      <c r="AB80" s="136">
        <f t="shared" si="36"/>
      </c>
      <c r="AC80" s="136" t="str">
        <f t="shared" si="37"/>
        <v>13歳誕生月</v>
      </c>
      <c r="AD80" s="136">
        <f t="shared" si="38"/>
      </c>
    </row>
    <row r="81" spans="6:30" ht="16.5" customHeight="1">
      <c r="F81" s="210">
        <f t="shared" si="39"/>
        <v>76</v>
      </c>
      <c r="G81" s="28">
        <f t="shared" si="29"/>
        <v>46203</v>
      </c>
      <c r="H81" s="29">
        <f t="shared" si="30"/>
        <v>46203</v>
      </c>
      <c r="I81" s="22">
        <f t="shared" si="46"/>
        <v>50000</v>
      </c>
      <c r="J81" s="30">
        <f t="shared" si="40"/>
        <v>46203</v>
      </c>
      <c r="K81" s="23" t="str">
        <f t="shared" si="47"/>
        <v>17歳誕生月</v>
      </c>
      <c r="L81" s="29">
        <f t="shared" si="41"/>
        <v>46203</v>
      </c>
      <c r="M81" s="22">
        <f t="shared" si="42"/>
        <v>50000</v>
      </c>
      <c r="N81" s="23">
        <f t="shared" si="48"/>
      </c>
      <c r="O81" s="29">
        <f t="shared" si="31"/>
        <v>46203</v>
      </c>
      <c r="P81" s="22">
        <f t="shared" si="43"/>
        <v>50000</v>
      </c>
      <c r="Q81" s="23">
        <f t="shared" si="44"/>
      </c>
      <c r="R81" s="24">
        <f t="shared" si="45"/>
        <v>150000</v>
      </c>
      <c r="S81" s="211">
        <f t="shared" si="28"/>
        <v>2026</v>
      </c>
      <c r="T81" s="39"/>
      <c r="V81" s="25">
        <f t="shared" si="32"/>
        <v>77</v>
      </c>
      <c r="W81" s="26">
        <f t="shared" si="27"/>
        <v>46234</v>
      </c>
      <c r="X81" s="144">
        <f t="shared" si="33"/>
        <v>2026</v>
      </c>
      <c r="Y81" s="22">
        <f t="shared" si="34"/>
        <v>40000</v>
      </c>
      <c r="Z81" s="132">
        <f t="shared" si="35"/>
        <v>920000</v>
      </c>
      <c r="AA81" s="135"/>
      <c r="AB81" s="136" t="str">
        <f t="shared" si="36"/>
        <v>17歳誕生月</v>
      </c>
      <c r="AC81" s="136">
        <f t="shared" si="37"/>
      </c>
      <c r="AD81" s="136">
        <f t="shared" si="38"/>
      </c>
    </row>
    <row r="82" spans="6:30" ht="16.5" customHeight="1">
      <c r="F82" s="210">
        <f t="shared" si="39"/>
        <v>77</v>
      </c>
      <c r="G82" s="28">
        <f t="shared" si="29"/>
        <v>46234</v>
      </c>
      <c r="H82" s="29">
        <f t="shared" si="30"/>
        <v>46234</v>
      </c>
      <c r="I82" s="22">
        <f t="shared" si="46"/>
        <v>50000</v>
      </c>
      <c r="J82" s="30">
        <f t="shared" si="40"/>
        <v>46234</v>
      </c>
      <c r="K82" s="23">
        <f t="shared" si="47"/>
      </c>
      <c r="L82" s="29">
        <f t="shared" si="41"/>
        <v>46234</v>
      </c>
      <c r="M82" s="22">
        <f t="shared" si="42"/>
        <v>50000</v>
      </c>
      <c r="N82" s="23">
        <f t="shared" si="48"/>
      </c>
      <c r="O82" s="29">
        <f t="shared" si="31"/>
        <v>46234</v>
      </c>
      <c r="P82" s="22">
        <f t="shared" si="43"/>
        <v>50000</v>
      </c>
      <c r="Q82" s="23">
        <f t="shared" si="44"/>
      </c>
      <c r="R82" s="24">
        <f t="shared" si="45"/>
        <v>150000</v>
      </c>
      <c r="S82" s="211">
        <f t="shared" si="28"/>
        <v>2026</v>
      </c>
      <c r="T82" s="39"/>
      <c r="V82" s="25">
        <f t="shared" si="32"/>
        <v>78</v>
      </c>
      <c r="W82" s="26">
        <f t="shared" si="27"/>
        <v>46265</v>
      </c>
      <c r="X82" s="144">
        <f t="shared" si="33"/>
        <v>2026</v>
      </c>
      <c r="Y82" s="22">
        <f t="shared" si="34"/>
        <v>40000</v>
      </c>
      <c r="Z82" s="132">
        <f t="shared" si="35"/>
        <v>880000</v>
      </c>
      <c r="AA82" s="135"/>
      <c r="AB82" s="136">
        <f t="shared" si="36"/>
      </c>
      <c r="AC82" s="136">
        <f t="shared" si="37"/>
      </c>
      <c r="AD82" s="136">
        <f t="shared" si="38"/>
      </c>
    </row>
    <row r="83" spans="6:30" ht="16.5" customHeight="1">
      <c r="F83" s="210">
        <f t="shared" si="39"/>
        <v>78</v>
      </c>
      <c r="G83" s="28">
        <f t="shared" si="29"/>
        <v>46265</v>
      </c>
      <c r="H83" s="29">
        <f t="shared" si="30"/>
        <v>46265</v>
      </c>
      <c r="I83" s="22">
        <f t="shared" si="46"/>
        <v>50000</v>
      </c>
      <c r="J83" s="30">
        <f t="shared" si="40"/>
        <v>46265</v>
      </c>
      <c r="K83" s="23">
        <f t="shared" si="47"/>
      </c>
      <c r="L83" s="29">
        <f t="shared" si="41"/>
        <v>46265</v>
      </c>
      <c r="M83" s="22">
        <f t="shared" si="42"/>
        <v>50000</v>
      </c>
      <c r="N83" s="23">
        <f t="shared" si="48"/>
      </c>
      <c r="O83" s="29">
        <f t="shared" si="31"/>
        <v>46265</v>
      </c>
      <c r="P83" s="22">
        <f t="shared" si="43"/>
        <v>50000</v>
      </c>
      <c r="Q83" s="23">
        <f t="shared" si="44"/>
      </c>
      <c r="R83" s="24">
        <f t="shared" si="45"/>
        <v>150000</v>
      </c>
      <c r="S83" s="211">
        <f t="shared" si="28"/>
        <v>2026</v>
      </c>
      <c r="T83" s="39"/>
      <c r="V83" s="25">
        <f t="shared" si="32"/>
        <v>79</v>
      </c>
      <c r="W83" s="26">
        <f t="shared" si="27"/>
        <v>46295</v>
      </c>
      <c r="X83" s="144">
        <f t="shared" si="33"/>
        <v>2026</v>
      </c>
      <c r="Y83" s="22">
        <f t="shared" si="34"/>
        <v>40000</v>
      </c>
      <c r="Z83" s="132">
        <f t="shared" si="35"/>
        <v>840000</v>
      </c>
      <c r="AA83" s="135"/>
      <c r="AB83" s="136">
        <f t="shared" si="36"/>
      </c>
      <c r="AC83" s="136">
        <f t="shared" si="37"/>
      </c>
      <c r="AD83" s="136">
        <f t="shared" si="38"/>
      </c>
    </row>
    <row r="84" spans="6:30" ht="16.5" customHeight="1">
      <c r="F84" s="210">
        <f t="shared" si="39"/>
        <v>79</v>
      </c>
      <c r="G84" s="28">
        <f t="shared" si="29"/>
        <v>46295</v>
      </c>
      <c r="H84" s="29">
        <f t="shared" si="30"/>
        <v>46295</v>
      </c>
      <c r="I84" s="22">
        <f t="shared" si="46"/>
        <v>50000</v>
      </c>
      <c r="J84" s="30">
        <f t="shared" si="40"/>
        <v>46295</v>
      </c>
      <c r="K84" s="23">
        <f t="shared" si="47"/>
      </c>
      <c r="L84" s="29">
        <f t="shared" si="41"/>
        <v>46295</v>
      </c>
      <c r="M84" s="22">
        <f t="shared" si="42"/>
        <v>50000</v>
      </c>
      <c r="N84" s="23">
        <f t="shared" si="48"/>
      </c>
      <c r="O84" s="29">
        <f t="shared" si="31"/>
        <v>46295</v>
      </c>
      <c r="P84" s="22">
        <f t="shared" si="43"/>
        <v>50000</v>
      </c>
      <c r="Q84" s="23" t="str">
        <f t="shared" si="44"/>
        <v>8歳誕生月</v>
      </c>
      <c r="R84" s="24">
        <f t="shared" si="45"/>
        <v>150000</v>
      </c>
      <c r="S84" s="211">
        <f t="shared" si="28"/>
        <v>2026</v>
      </c>
      <c r="T84" s="39"/>
      <c r="V84" s="25">
        <f t="shared" si="32"/>
        <v>80</v>
      </c>
      <c r="W84" s="26">
        <f t="shared" si="27"/>
        <v>46326</v>
      </c>
      <c r="X84" s="144">
        <f t="shared" si="33"/>
        <v>2026</v>
      </c>
      <c r="Y84" s="22">
        <f t="shared" si="34"/>
        <v>40000</v>
      </c>
      <c r="Z84" s="132">
        <f t="shared" si="35"/>
        <v>800000</v>
      </c>
      <c r="AA84" s="135"/>
      <c r="AB84" s="136">
        <f t="shared" si="36"/>
      </c>
      <c r="AC84" s="136">
        <f t="shared" si="37"/>
      </c>
      <c r="AD84" s="136" t="str">
        <f t="shared" si="38"/>
        <v>8歳誕生月</v>
      </c>
    </row>
    <row r="85" spans="6:30" ht="16.5" customHeight="1">
      <c r="F85" s="210">
        <f t="shared" si="39"/>
        <v>80</v>
      </c>
      <c r="G85" s="28">
        <f t="shared" si="29"/>
        <v>46326</v>
      </c>
      <c r="H85" s="29">
        <f t="shared" si="30"/>
        <v>46326</v>
      </c>
      <c r="I85" s="22">
        <f t="shared" si="46"/>
        <v>50000</v>
      </c>
      <c r="J85" s="30">
        <f t="shared" si="40"/>
        <v>46326</v>
      </c>
      <c r="K85" s="23">
        <f t="shared" si="47"/>
      </c>
      <c r="L85" s="29">
        <f t="shared" si="41"/>
        <v>46326</v>
      </c>
      <c r="M85" s="22">
        <f t="shared" si="42"/>
        <v>50000</v>
      </c>
      <c r="N85" s="23">
        <f t="shared" si="48"/>
      </c>
      <c r="O85" s="29">
        <f t="shared" si="31"/>
        <v>46326</v>
      </c>
      <c r="P85" s="22">
        <f t="shared" si="43"/>
        <v>50000</v>
      </c>
      <c r="Q85" s="23">
        <f t="shared" si="44"/>
      </c>
      <c r="R85" s="24">
        <f t="shared" si="45"/>
        <v>150000</v>
      </c>
      <c r="S85" s="211">
        <f t="shared" si="28"/>
        <v>2026</v>
      </c>
      <c r="T85" s="39"/>
      <c r="V85" s="25">
        <f t="shared" si="32"/>
        <v>81</v>
      </c>
      <c r="W85" s="26">
        <f t="shared" si="27"/>
        <v>46356</v>
      </c>
      <c r="X85" s="144">
        <f t="shared" si="33"/>
        <v>2026</v>
      </c>
      <c r="Y85" s="22">
        <f t="shared" si="34"/>
        <v>40000</v>
      </c>
      <c r="Z85" s="132">
        <f t="shared" si="35"/>
        <v>760000</v>
      </c>
      <c r="AA85" s="135"/>
      <c r="AB85" s="136">
        <f t="shared" si="36"/>
      </c>
      <c r="AC85" s="136">
        <f t="shared" si="37"/>
      </c>
      <c r="AD85" s="136">
        <f t="shared" si="38"/>
      </c>
    </row>
    <row r="86" spans="6:30" ht="16.5" customHeight="1">
      <c r="F86" s="210">
        <f t="shared" si="39"/>
        <v>81</v>
      </c>
      <c r="G86" s="28">
        <f t="shared" si="29"/>
        <v>46356</v>
      </c>
      <c r="H86" s="29">
        <f t="shared" si="30"/>
        <v>46356</v>
      </c>
      <c r="I86" s="22">
        <f t="shared" si="46"/>
        <v>50000</v>
      </c>
      <c r="J86" s="30">
        <f t="shared" si="40"/>
        <v>46356</v>
      </c>
      <c r="K86" s="23">
        <f t="shared" si="47"/>
      </c>
      <c r="L86" s="29">
        <f t="shared" si="41"/>
        <v>46356</v>
      </c>
      <c r="M86" s="22">
        <f t="shared" si="42"/>
        <v>50000</v>
      </c>
      <c r="N86" s="23">
        <f t="shared" si="48"/>
      </c>
      <c r="O86" s="29">
        <f t="shared" si="31"/>
        <v>46356</v>
      </c>
      <c r="P86" s="22">
        <f t="shared" si="43"/>
        <v>50000</v>
      </c>
      <c r="Q86" s="23">
        <f t="shared" si="44"/>
      </c>
      <c r="R86" s="24">
        <f t="shared" si="45"/>
        <v>150000</v>
      </c>
      <c r="S86" s="211">
        <f t="shared" si="28"/>
        <v>2026</v>
      </c>
      <c r="T86" s="39"/>
      <c r="V86" s="25">
        <f t="shared" si="32"/>
        <v>82</v>
      </c>
      <c r="W86" s="26">
        <f t="shared" si="27"/>
        <v>46387</v>
      </c>
      <c r="X86" s="144">
        <f t="shared" si="33"/>
        <v>2026</v>
      </c>
      <c r="Y86" s="22">
        <f t="shared" si="34"/>
        <v>40000</v>
      </c>
      <c r="Z86" s="132">
        <f t="shared" si="35"/>
        <v>720000</v>
      </c>
      <c r="AA86" s="135"/>
      <c r="AB86" s="136">
        <f t="shared" si="36"/>
      </c>
      <c r="AC86" s="136">
        <f t="shared" si="37"/>
      </c>
      <c r="AD86" s="136">
        <f t="shared" si="38"/>
      </c>
    </row>
    <row r="87" spans="6:30" ht="16.5" customHeight="1">
      <c r="F87" s="210">
        <f t="shared" si="39"/>
        <v>82</v>
      </c>
      <c r="G87" s="28">
        <f t="shared" si="29"/>
        <v>46387</v>
      </c>
      <c r="H87" s="29">
        <f t="shared" si="30"/>
        <v>46387</v>
      </c>
      <c r="I87" s="22">
        <f t="shared" si="46"/>
        <v>50000</v>
      </c>
      <c r="J87" s="30">
        <f t="shared" si="40"/>
        <v>46387</v>
      </c>
      <c r="K87" s="23">
        <f t="shared" si="47"/>
      </c>
      <c r="L87" s="29">
        <f t="shared" si="41"/>
        <v>46387</v>
      </c>
      <c r="M87" s="22">
        <f t="shared" si="42"/>
        <v>50000</v>
      </c>
      <c r="N87" s="23">
        <f t="shared" si="48"/>
      </c>
      <c r="O87" s="29">
        <f t="shared" si="31"/>
        <v>46387</v>
      </c>
      <c r="P87" s="22">
        <f t="shared" si="43"/>
        <v>50000</v>
      </c>
      <c r="Q87" s="23">
        <f t="shared" si="44"/>
      </c>
      <c r="R87" s="24">
        <f t="shared" si="45"/>
        <v>150000</v>
      </c>
      <c r="S87" s="211">
        <f t="shared" si="28"/>
        <v>2026</v>
      </c>
      <c r="T87" s="39"/>
      <c r="V87" s="25">
        <f t="shared" si="32"/>
        <v>83</v>
      </c>
      <c r="W87" s="26">
        <f t="shared" si="27"/>
        <v>46418</v>
      </c>
      <c r="X87" s="144">
        <f t="shared" si="33"/>
        <v>2027</v>
      </c>
      <c r="Y87" s="22">
        <f t="shared" si="34"/>
        <v>40000</v>
      </c>
      <c r="Z87" s="132">
        <f t="shared" si="35"/>
        <v>680000</v>
      </c>
      <c r="AA87" s="135"/>
      <c r="AB87" s="136">
        <f t="shared" si="36"/>
      </c>
      <c r="AC87" s="136">
        <f t="shared" si="37"/>
      </c>
      <c r="AD87" s="136">
        <f t="shared" si="38"/>
      </c>
    </row>
    <row r="88" spans="6:30" ht="16.5" customHeight="1">
      <c r="F88" s="210">
        <f t="shared" si="39"/>
        <v>83</v>
      </c>
      <c r="G88" s="28">
        <f t="shared" si="29"/>
        <v>46418</v>
      </c>
      <c r="H88" s="29">
        <f t="shared" si="30"/>
        <v>46418</v>
      </c>
      <c r="I88" s="22">
        <f t="shared" si="46"/>
        <v>50000</v>
      </c>
      <c r="J88" s="30">
        <f t="shared" si="40"/>
        <v>46418</v>
      </c>
      <c r="K88" s="23">
        <f t="shared" si="47"/>
      </c>
      <c r="L88" s="29">
        <f t="shared" si="41"/>
        <v>46418</v>
      </c>
      <c r="M88" s="22">
        <f t="shared" si="42"/>
        <v>50000</v>
      </c>
      <c r="N88" s="23">
        <f t="shared" si="48"/>
      </c>
      <c r="O88" s="29">
        <f t="shared" si="31"/>
        <v>46418</v>
      </c>
      <c r="P88" s="22">
        <f t="shared" si="43"/>
        <v>50000</v>
      </c>
      <c r="Q88" s="23">
        <f t="shared" si="44"/>
      </c>
      <c r="R88" s="24">
        <f t="shared" si="45"/>
        <v>150000</v>
      </c>
      <c r="S88" s="211">
        <f t="shared" si="28"/>
        <v>2027</v>
      </c>
      <c r="T88" s="39"/>
      <c r="V88" s="25">
        <f t="shared" si="32"/>
        <v>84</v>
      </c>
      <c r="W88" s="26">
        <f t="shared" si="27"/>
        <v>46446</v>
      </c>
      <c r="X88" s="144">
        <f t="shared" si="33"/>
        <v>2027</v>
      </c>
      <c r="Y88" s="22">
        <f t="shared" si="34"/>
        <v>40000</v>
      </c>
      <c r="Z88" s="132">
        <f t="shared" si="35"/>
        <v>640000</v>
      </c>
      <c r="AA88" s="135"/>
      <c r="AB88" s="136">
        <f t="shared" si="36"/>
      </c>
      <c r="AC88" s="136">
        <f t="shared" si="37"/>
      </c>
      <c r="AD88" s="136">
        <f t="shared" si="38"/>
      </c>
    </row>
    <row r="89" spans="6:30" ht="16.5" customHeight="1">
      <c r="F89" s="210">
        <f t="shared" si="39"/>
        <v>84</v>
      </c>
      <c r="G89" s="28">
        <f t="shared" si="29"/>
        <v>46446</v>
      </c>
      <c r="H89" s="29">
        <f t="shared" si="30"/>
        <v>46446</v>
      </c>
      <c r="I89" s="22">
        <f t="shared" si="46"/>
        <v>50000</v>
      </c>
      <c r="J89" s="30">
        <f t="shared" si="40"/>
        <v>46446</v>
      </c>
      <c r="K89" s="23">
        <f t="shared" si="47"/>
      </c>
      <c r="L89" s="29">
        <f t="shared" si="41"/>
        <v>46446</v>
      </c>
      <c r="M89" s="22">
        <f t="shared" si="42"/>
        <v>50000</v>
      </c>
      <c r="N89" s="23">
        <f t="shared" si="48"/>
      </c>
      <c r="O89" s="29">
        <f t="shared" si="31"/>
        <v>46446</v>
      </c>
      <c r="P89" s="22">
        <f t="shared" si="43"/>
        <v>50000</v>
      </c>
      <c r="Q89" s="23">
        <f t="shared" si="44"/>
      </c>
      <c r="R89" s="24">
        <f t="shared" si="45"/>
        <v>150000</v>
      </c>
      <c r="S89" s="211">
        <f t="shared" si="28"/>
        <v>2027</v>
      </c>
      <c r="T89" s="39"/>
      <c r="V89" s="25">
        <f t="shared" si="32"/>
        <v>85</v>
      </c>
      <c r="W89" s="26">
        <f t="shared" si="27"/>
        <v>46477</v>
      </c>
      <c r="X89" s="144">
        <f t="shared" si="33"/>
        <v>2027</v>
      </c>
      <c r="Y89" s="22">
        <f t="shared" si="34"/>
        <v>40000</v>
      </c>
      <c r="Z89" s="132">
        <f t="shared" si="35"/>
        <v>600000</v>
      </c>
      <c r="AA89" s="135"/>
      <c r="AB89" s="136">
        <f t="shared" si="36"/>
      </c>
      <c r="AC89" s="136">
        <f t="shared" si="37"/>
      </c>
      <c r="AD89" s="136">
        <f t="shared" si="38"/>
      </c>
    </row>
    <row r="90" spans="6:30" ht="16.5" customHeight="1">
      <c r="F90" s="210">
        <f t="shared" si="39"/>
        <v>85</v>
      </c>
      <c r="G90" s="28">
        <f t="shared" si="29"/>
        <v>46477</v>
      </c>
      <c r="H90" s="29">
        <f t="shared" si="30"/>
        <v>46477</v>
      </c>
      <c r="I90" s="22">
        <f t="shared" si="46"/>
        <v>50000</v>
      </c>
      <c r="J90" s="30">
        <f t="shared" si="40"/>
        <v>46477</v>
      </c>
      <c r="K90" s="23">
        <f t="shared" si="47"/>
      </c>
      <c r="L90" s="29">
        <f t="shared" si="41"/>
        <v>46477</v>
      </c>
      <c r="M90" s="22">
        <f t="shared" si="42"/>
        <v>50000</v>
      </c>
      <c r="N90" s="23">
        <f t="shared" si="48"/>
      </c>
      <c r="O90" s="29">
        <f t="shared" si="31"/>
        <v>46477</v>
      </c>
      <c r="P90" s="22">
        <f t="shared" si="43"/>
        <v>50000</v>
      </c>
      <c r="Q90" s="23">
        <f t="shared" si="44"/>
      </c>
      <c r="R90" s="24">
        <f t="shared" si="45"/>
        <v>150000</v>
      </c>
      <c r="S90" s="211">
        <f t="shared" si="28"/>
        <v>2027</v>
      </c>
      <c r="T90" s="39"/>
      <c r="V90" s="25">
        <f t="shared" si="32"/>
        <v>86</v>
      </c>
      <c r="W90" s="26">
        <f t="shared" si="27"/>
        <v>46507</v>
      </c>
      <c r="X90" s="144">
        <f t="shared" si="33"/>
        <v>2027</v>
      </c>
      <c r="Y90" s="22">
        <f t="shared" si="34"/>
        <v>40000</v>
      </c>
      <c r="Z90" s="132">
        <f t="shared" si="35"/>
        <v>560000</v>
      </c>
      <c r="AA90" s="135"/>
      <c r="AB90" s="136">
        <f t="shared" si="36"/>
      </c>
      <c r="AC90" s="136">
        <f t="shared" si="37"/>
      </c>
      <c r="AD90" s="136">
        <f t="shared" si="38"/>
      </c>
    </row>
    <row r="91" spans="6:30" ht="16.5" customHeight="1">
      <c r="F91" s="210">
        <f t="shared" si="39"/>
        <v>86</v>
      </c>
      <c r="G91" s="28">
        <f t="shared" si="29"/>
        <v>46507</v>
      </c>
      <c r="H91" s="29">
        <f t="shared" si="30"/>
        <v>46507</v>
      </c>
      <c r="I91" s="22">
        <f t="shared" si="46"/>
        <v>50000</v>
      </c>
      <c r="J91" s="30">
        <f t="shared" si="40"/>
        <v>46507</v>
      </c>
      <c r="K91" s="23">
        <f t="shared" si="47"/>
      </c>
      <c r="L91" s="29">
        <f t="shared" si="41"/>
        <v>46507</v>
      </c>
      <c r="M91" s="22">
        <f t="shared" si="42"/>
        <v>50000</v>
      </c>
      <c r="N91" s="23">
        <f t="shared" si="48"/>
      </c>
      <c r="O91" s="29">
        <f t="shared" si="31"/>
        <v>46507</v>
      </c>
      <c r="P91" s="22">
        <f t="shared" si="43"/>
        <v>50000</v>
      </c>
      <c r="Q91" s="23">
        <f t="shared" si="44"/>
      </c>
      <c r="R91" s="24">
        <f t="shared" si="45"/>
        <v>150000</v>
      </c>
      <c r="S91" s="211">
        <f t="shared" si="28"/>
        <v>2027</v>
      </c>
      <c r="T91" s="39"/>
      <c r="V91" s="25">
        <f t="shared" si="32"/>
        <v>87</v>
      </c>
      <c r="W91" s="26">
        <f t="shared" si="27"/>
        <v>46538</v>
      </c>
      <c r="X91" s="144">
        <f t="shared" si="33"/>
        <v>2027</v>
      </c>
      <c r="Y91" s="22">
        <f t="shared" si="34"/>
        <v>40000</v>
      </c>
      <c r="Z91" s="132">
        <f t="shared" si="35"/>
        <v>520000</v>
      </c>
      <c r="AA91" s="135"/>
      <c r="AB91" s="136">
        <f t="shared" si="36"/>
      </c>
      <c r="AC91" s="136">
        <f t="shared" si="37"/>
      </c>
      <c r="AD91" s="136">
        <f t="shared" si="38"/>
      </c>
    </row>
    <row r="92" spans="6:30" ht="16.5" customHeight="1">
      <c r="F92" s="210">
        <f t="shared" si="39"/>
        <v>87</v>
      </c>
      <c r="G92" s="28">
        <f t="shared" si="29"/>
        <v>46538</v>
      </c>
      <c r="H92" s="29">
        <f t="shared" si="30"/>
        <v>46538</v>
      </c>
      <c r="I92" s="22">
        <f t="shared" si="46"/>
        <v>50000</v>
      </c>
      <c r="J92" s="30">
        <f t="shared" si="40"/>
        <v>46538</v>
      </c>
      <c r="K92" s="23">
        <f t="shared" si="47"/>
      </c>
      <c r="L92" s="29">
        <f t="shared" si="41"/>
        <v>46538</v>
      </c>
      <c r="M92" s="22">
        <f t="shared" si="42"/>
        <v>50000</v>
      </c>
      <c r="N92" s="23" t="str">
        <f t="shared" si="48"/>
        <v>14歳誕生月</v>
      </c>
      <c r="O92" s="29">
        <f t="shared" si="31"/>
        <v>46538</v>
      </c>
      <c r="P92" s="22">
        <f t="shared" si="43"/>
        <v>50000</v>
      </c>
      <c r="Q92" s="23">
        <f t="shared" si="44"/>
      </c>
      <c r="R92" s="24">
        <f t="shared" si="45"/>
        <v>150000</v>
      </c>
      <c r="S92" s="211">
        <f t="shared" si="28"/>
        <v>2027</v>
      </c>
      <c r="T92" s="39"/>
      <c r="V92" s="25">
        <f t="shared" si="32"/>
        <v>88</v>
      </c>
      <c r="W92" s="26">
        <f t="shared" si="27"/>
        <v>46568</v>
      </c>
      <c r="X92" s="144">
        <f t="shared" si="33"/>
        <v>2027</v>
      </c>
      <c r="Y92" s="22">
        <f t="shared" si="34"/>
        <v>40000</v>
      </c>
      <c r="Z92" s="132">
        <f t="shared" si="35"/>
        <v>480000</v>
      </c>
      <c r="AA92" s="135"/>
      <c r="AB92" s="136">
        <f t="shared" si="36"/>
      </c>
      <c r="AC92" s="136" t="str">
        <f t="shared" si="37"/>
        <v>14歳誕生月</v>
      </c>
      <c r="AD92" s="136">
        <f t="shared" si="38"/>
      </c>
    </row>
    <row r="93" spans="6:30" ht="16.5" customHeight="1">
      <c r="F93" s="210">
        <f t="shared" si="39"/>
        <v>88</v>
      </c>
      <c r="G93" s="28">
        <f t="shared" si="29"/>
        <v>46568</v>
      </c>
      <c r="H93" s="29">
        <f t="shared" si="30"/>
        <v>46568</v>
      </c>
      <c r="I93" s="22">
        <f t="shared" si="46"/>
        <v>50000</v>
      </c>
      <c r="J93" s="30">
        <f t="shared" si="40"/>
        <v>46568</v>
      </c>
      <c r="K93" s="23" t="str">
        <f t="shared" si="47"/>
        <v>18歳誕生月</v>
      </c>
      <c r="L93" s="29">
        <f t="shared" si="41"/>
        <v>46568</v>
      </c>
      <c r="M93" s="22">
        <f t="shared" si="42"/>
        <v>50000</v>
      </c>
      <c r="N93" s="23">
        <f t="shared" si="48"/>
      </c>
      <c r="O93" s="29">
        <f t="shared" si="31"/>
        <v>46568</v>
      </c>
      <c r="P93" s="22">
        <f t="shared" si="43"/>
        <v>50000</v>
      </c>
      <c r="Q93" s="23">
        <f t="shared" si="44"/>
      </c>
      <c r="R93" s="24">
        <f t="shared" si="45"/>
        <v>150000</v>
      </c>
      <c r="S93" s="211">
        <f t="shared" si="28"/>
        <v>2027</v>
      </c>
      <c r="T93" s="39"/>
      <c r="V93" s="25">
        <f t="shared" si="32"/>
        <v>89</v>
      </c>
      <c r="W93" s="26">
        <f t="shared" si="27"/>
        <v>46599</v>
      </c>
      <c r="X93" s="144">
        <f t="shared" si="33"/>
        <v>2027</v>
      </c>
      <c r="Y93" s="22">
        <f t="shared" si="34"/>
        <v>40000</v>
      </c>
      <c r="Z93" s="132">
        <f t="shared" si="35"/>
        <v>440000</v>
      </c>
      <c r="AA93" s="135"/>
      <c r="AB93" s="136" t="str">
        <f t="shared" si="36"/>
        <v>18歳誕生月</v>
      </c>
      <c r="AC93" s="136">
        <f t="shared" si="37"/>
      </c>
      <c r="AD93" s="136">
        <f t="shared" si="38"/>
      </c>
    </row>
    <row r="94" spans="6:30" ht="16.5" customHeight="1">
      <c r="F94" s="210">
        <f t="shared" si="39"/>
        <v>89</v>
      </c>
      <c r="G94" s="28">
        <f t="shared" si="29"/>
        <v>46599</v>
      </c>
      <c r="H94" s="29">
        <f t="shared" si="30"/>
        <v>46599</v>
      </c>
      <c r="I94" s="22">
        <f t="shared" si="46"/>
        <v>50000</v>
      </c>
      <c r="J94" s="30">
        <f t="shared" si="40"/>
        <v>46599</v>
      </c>
      <c r="K94" s="23">
        <f t="shared" si="47"/>
      </c>
      <c r="L94" s="29">
        <f t="shared" si="41"/>
        <v>46599</v>
      </c>
      <c r="M94" s="22">
        <f t="shared" si="42"/>
        <v>50000</v>
      </c>
      <c r="N94" s="23">
        <f t="shared" si="48"/>
      </c>
      <c r="O94" s="29">
        <f t="shared" si="31"/>
        <v>46599</v>
      </c>
      <c r="P94" s="22">
        <f t="shared" si="43"/>
        <v>50000</v>
      </c>
      <c r="Q94" s="23">
        <f t="shared" si="44"/>
      </c>
      <c r="R94" s="24">
        <f t="shared" si="45"/>
        <v>150000</v>
      </c>
      <c r="S94" s="211">
        <f t="shared" si="28"/>
        <v>2027</v>
      </c>
      <c r="T94" s="39"/>
      <c r="V94" s="25">
        <f t="shared" si="32"/>
        <v>90</v>
      </c>
      <c r="W94" s="26">
        <f t="shared" si="27"/>
        <v>46630</v>
      </c>
      <c r="X94" s="144">
        <f t="shared" si="33"/>
        <v>2027</v>
      </c>
      <c r="Y94" s="22">
        <f t="shared" si="34"/>
        <v>40000</v>
      </c>
      <c r="Z94" s="132">
        <f t="shared" si="35"/>
        <v>400000</v>
      </c>
      <c r="AA94" s="135"/>
      <c r="AB94" s="136">
        <f t="shared" si="36"/>
      </c>
      <c r="AC94" s="136">
        <f t="shared" si="37"/>
      </c>
      <c r="AD94" s="136">
        <f t="shared" si="38"/>
      </c>
    </row>
    <row r="95" spans="6:30" ht="16.5" customHeight="1">
      <c r="F95" s="210">
        <f t="shared" si="39"/>
        <v>90</v>
      </c>
      <c r="G95" s="28">
        <f t="shared" si="29"/>
        <v>46630</v>
      </c>
      <c r="H95" s="29">
        <f t="shared" si="30"/>
        <v>46630</v>
      </c>
      <c r="I95" s="22">
        <f t="shared" si="46"/>
        <v>50000</v>
      </c>
      <c r="J95" s="30">
        <f t="shared" si="40"/>
        <v>46630</v>
      </c>
      <c r="K95" s="23">
        <f t="shared" si="47"/>
      </c>
      <c r="L95" s="29">
        <f t="shared" si="41"/>
        <v>46630</v>
      </c>
      <c r="M95" s="22">
        <f t="shared" si="42"/>
        <v>50000</v>
      </c>
      <c r="N95" s="23">
        <f t="shared" si="48"/>
      </c>
      <c r="O95" s="29">
        <f t="shared" si="31"/>
        <v>46630</v>
      </c>
      <c r="P95" s="22">
        <f t="shared" si="43"/>
        <v>50000</v>
      </c>
      <c r="Q95" s="23">
        <f t="shared" si="44"/>
      </c>
      <c r="R95" s="24">
        <f t="shared" si="45"/>
        <v>150000</v>
      </c>
      <c r="S95" s="211">
        <f t="shared" si="28"/>
        <v>2027</v>
      </c>
      <c r="T95" s="39"/>
      <c r="V95" s="25">
        <f t="shared" si="32"/>
        <v>91</v>
      </c>
      <c r="W95" s="26">
        <f t="shared" si="27"/>
        <v>46660</v>
      </c>
      <c r="X95" s="144">
        <f t="shared" si="33"/>
        <v>2027</v>
      </c>
      <c r="Y95" s="22">
        <f t="shared" si="34"/>
        <v>40000</v>
      </c>
      <c r="Z95" s="132">
        <f t="shared" si="35"/>
        <v>360000</v>
      </c>
      <c r="AA95" s="135"/>
      <c r="AB95" s="136">
        <f t="shared" si="36"/>
      </c>
      <c r="AC95" s="136">
        <f t="shared" si="37"/>
      </c>
      <c r="AD95" s="136">
        <f t="shared" si="38"/>
      </c>
    </row>
    <row r="96" spans="6:30" ht="16.5" customHeight="1">
      <c r="F96" s="210">
        <f t="shared" si="39"/>
        <v>91</v>
      </c>
      <c r="G96" s="28">
        <f t="shared" si="29"/>
        <v>46660</v>
      </c>
      <c r="H96" s="29">
        <f t="shared" si="30"/>
        <v>46660</v>
      </c>
      <c r="I96" s="22">
        <f t="shared" si="46"/>
        <v>50000</v>
      </c>
      <c r="J96" s="30">
        <f t="shared" si="40"/>
        <v>46660</v>
      </c>
      <c r="K96" s="23">
        <f t="shared" si="47"/>
      </c>
      <c r="L96" s="29">
        <f t="shared" si="41"/>
        <v>46660</v>
      </c>
      <c r="M96" s="22">
        <f t="shared" si="42"/>
        <v>50000</v>
      </c>
      <c r="N96" s="23">
        <f t="shared" si="48"/>
      </c>
      <c r="O96" s="29">
        <f t="shared" si="31"/>
        <v>46660</v>
      </c>
      <c r="P96" s="22">
        <f t="shared" si="43"/>
        <v>50000</v>
      </c>
      <c r="Q96" s="23" t="str">
        <f t="shared" si="44"/>
        <v>9歳誕生月</v>
      </c>
      <c r="R96" s="24">
        <f t="shared" si="45"/>
        <v>150000</v>
      </c>
      <c r="S96" s="211">
        <f t="shared" si="28"/>
        <v>2027</v>
      </c>
      <c r="T96" s="39"/>
      <c r="V96" s="25">
        <f t="shared" si="32"/>
        <v>92</v>
      </c>
      <c r="W96" s="26">
        <f t="shared" si="27"/>
        <v>46691</v>
      </c>
      <c r="X96" s="144">
        <f t="shared" si="33"/>
        <v>2027</v>
      </c>
      <c r="Y96" s="22">
        <f t="shared" si="34"/>
        <v>40000</v>
      </c>
      <c r="Z96" s="132">
        <f t="shared" si="35"/>
        <v>320000</v>
      </c>
      <c r="AA96" s="135"/>
      <c r="AB96" s="136">
        <f t="shared" si="36"/>
      </c>
      <c r="AC96" s="136">
        <f t="shared" si="37"/>
      </c>
      <c r="AD96" s="136" t="str">
        <f t="shared" si="38"/>
        <v>9歳誕生月</v>
      </c>
    </row>
    <row r="97" spans="6:30" ht="16.5" customHeight="1">
      <c r="F97" s="210">
        <f t="shared" si="39"/>
        <v>92</v>
      </c>
      <c r="G97" s="28">
        <f t="shared" si="29"/>
        <v>46691</v>
      </c>
      <c r="H97" s="29">
        <f t="shared" si="30"/>
        <v>46691</v>
      </c>
      <c r="I97" s="22">
        <f t="shared" si="46"/>
        <v>50000</v>
      </c>
      <c r="J97" s="30">
        <f t="shared" si="40"/>
        <v>46691</v>
      </c>
      <c r="K97" s="23">
        <f t="shared" si="47"/>
      </c>
      <c r="L97" s="29">
        <f t="shared" si="41"/>
        <v>46691</v>
      </c>
      <c r="M97" s="22">
        <f t="shared" si="42"/>
        <v>50000</v>
      </c>
      <c r="N97" s="23">
        <f t="shared" si="48"/>
      </c>
      <c r="O97" s="29">
        <f t="shared" si="31"/>
        <v>46691</v>
      </c>
      <c r="P97" s="22">
        <f t="shared" si="43"/>
        <v>50000</v>
      </c>
      <c r="Q97" s="23">
        <f t="shared" si="44"/>
      </c>
      <c r="R97" s="24">
        <f t="shared" si="45"/>
        <v>150000</v>
      </c>
      <c r="S97" s="211">
        <f t="shared" si="28"/>
        <v>2027</v>
      </c>
      <c r="T97" s="39"/>
      <c r="V97" s="25">
        <f t="shared" si="32"/>
        <v>93</v>
      </c>
      <c r="W97" s="26">
        <f t="shared" si="27"/>
        <v>46721</v>
      </c>
      <c r="X97" s="144">
        <f t="shared" si="33"/>
        <v>2027</v>
      </c>
      <c r="Y97" s="22">
        <f t="shared" si="34"/>
        <v>40000</v>
      </c>
      <c r="Z97" s="132">
        <f t="shared" si="35"/>
        <v>280000</v>
      </c>
      <c r="AA97" s="135"/>
      <c r="AB97" s="136">
        <f t="shared" si="36"/>
      </c>
      <c r="AC97" s="136">
        <f t="shared" si="37"/>
      </c>
      <c r="AD97" s="136">
        <f t="shared" si="38"/>
      </c>
    </row>
    <row r="98" spans="6:30" ht="16.5" customHeight="1">
      <c r="F98" s="210">
        <f t="shared" si="39"/>
        <v>93</v>
      </c>
      <c r="G98" s="28">
        <f t="shared" si="29"/>
        <v>46721</v>
      </c>
      <c r="H98" s="29">
        <f t="shared" si="30"/>
        <v>46721</v>
      </c>
      <c r="I98" s="22">
        <f t="shared" si="46"/>
        <v>50000</v>
      </c>
      <c r="J98" s="30">
        <f t="shared" si="40"/>
        <v>46721</v>
      </c>
      <c r="K98" s="23">
        <f t="shared" si="47"/>
      </c>
      <c r="L98" s="29">
        <f t="shared" si="41"/>
        <v>46721</v>
      </c>
      <c r="M98" s="22">
        <f t="shared" si="42"/>
        <v>50000</v>
      </c>
      <c r="N98" s="23">
        <f t="shared" si="48"/>
      </c>
      <c r="O98" s="29">
        <f t="shared" si="31"/>
        <v>46721</v>
      </c>
      <c r="P98" s="22">
        <f t="shared" si="43"/>
        <v>50000</v>
      </c>
      <c r="Q98" s="23">
        <f t="shared" si="44"/>
      </c>
      <c r="R98" s="24">
        <f t="shared" si="45"/>
        <v>150000</v>
      </c>
      <c r="S98" s="211">
        <f t="shared" si="28"/>
        <v>2027</v>
      </c>
      <c r="T98" s="39"/>
      <c r="V98" s="25">
        <f t="shared" si="32"/>
        <v>94</v>
      </c>
      <c r="W98" s="26">
        <f t="shared" si="27"/>
        <v>46752</v>
      </c>
      <c r="X98" s="144">
        <f t="shared" si="33"/>
        <v>2027</v>
      </c>
      <c r="Y98" s="22">
        <f t="shared" si="34"/>
        <v>40000</v>
      </c>
      <c r="Z98" s="132">
        <f t="shared" si="35"/>
        <v>240000</v>
      </c>
      <c r="AA98" s="135"/>
      <c r="AB98" s="136">
        <f t="shared" si="36"/>
      </c>
      <c r="AC98" s="136">
        <f t="shared" si="37"/>
      </c>
      <c r="AD98" s="136">
        <f t="shared" si="38"/>
      </c>
    </row>
    <row r="99" spans="6:30" ht="16.5" customHeight="1">
      <c r="F99" s="210">
        <f t="shared" si="39"/>
        <v>94</v>
      </c>
      <c r="G99" s="28">
        <f t="shared" si="29"/>
        <v>46752</v>
      </c>
      <c r="H99" s="29">
        <f t="shared" si="30"/>
        <v>46752</v>
      </c>
      <c r="I99" s="22">
        <f t="shared" si="46"/>
        <v>50000</v>
      </c>
      <c r="J99" s="30">
        <f t="shared" si="40"/>
        <v>46752</v>
      </c>
      <c r="K99" s="23">
        <f t="shared" si="47"/>
      </c>
      <c r="L99" s="29">
        <f t="shared" si="41"/>
        <v>46752</v>
      </c>
      <c r="M99" s="22">
        <f t="shared" si="42"/>
        <v>50000</v>
      </c>
      <c r="N99" s="23">
        <f t="shared" si="48"/>
      </c>
      <c r="O99" s="29">
        <f t="shared" si="31"/>
        <v>46752</v>
      </c>
      <c r="P99" s="22">
        <f t="shared" si="43"/>
        <v>50000</v>
      </c>
      <c r="Q99" s="23">
        <f t="shared" si="44"/>
      </c>
      <c r="R99" s="24">
        <f t="shared" si="45"/>
        <v>150000</v>
      </c>
      <c r="S99" s="211">
        <f t="shared" si="28"/>
        <v>2027</v>
      </c>
      <c r="T99" s="39"/>
      <c r="V99" s="25">
        <f t="shared" si="32"/>
        <v>95</v>
      </c>
      <c r="W99" s="26">
        <f t="shared" si="27"/>
        <v>46783</v>
      </c>
      <c r="X99" s="144">
        <f t="shared" si="33"/>
        <v>2028</v>
      </c>
      <c r="Y99" s="22">
        <f t="shared" si="34"/>
        <v>40000</v>
      </c>
      <c r="Z99" s="132">
        <f t="shared" si="35"/>
        <v>200000</v>
      </c>
      <c r="AA99" s="135"/>
      <c r="AB99" s="136">
        <f t="shared" si="36"/>
      </c>
      <c r="AC99" s="136">
        <f t="shared" si="37"/>
      </c>
      <c r="AD99" s="136">
        <f t="shared" si="38"/>
      </c>
    </row>
    <row r="100" spans="6:30" ht="16.5" customHeight="1">
      <c r="F100" s="210">
        <f t="shared" si="39"/>
        <v>95</v>
      </c>
      <c r="G100" s="28">
        <f t="shared" si="29"/>
        <v>46783</v>
      </c>
      <c r="H100" s="29">
        <f t="shared" si="30"/>
        <v>46783</v>
      </c>
      <c r="I100" s="22">
        <f t="shared" si="46"/>
        <v>50000</v>
      </c>
      <c r="J100" s="30">
        <f t="shared" si="40"/>
        <v>46783</v>
      </c>
      <c r="K100" s="23">
        <f t="shared" si="47"/>
      </c>
      <c r="L100" s="29">
        <f t="shared" si="41"/>
        <v>46783</v>
      </c>
      <c r="M100" s="22">
        <f t="shared" si="42"/>
        <v>50000</v>
      </c>
      <c r="N100" s="23">
        <f t="shared" si="48"/>
      </c>
      <c r="O100" s="29">
        <f t="shared" si="31"/>
        <v>46783</v>
      </c>
      <c r="P100" s="22">
        <f t="shared" si="43"/>
        <v>50000</v>
      </c>
      <c r="Q100" s="23">
        <f t="shared" si="44"/>
      </c>
      <c r="R100" s="24">
        <f t="shared" si="45"/>
        <v>150000</v>
      </c>
      <c r="S100" s="211">
        <f t="shared" si="28"/>
        <v>2028</v>
      </c>
      <c r="T100" s="39"/>
      <c r="V100" s="25">
        <f t="shared" si="32"/>
        <v>96</v>
      </c>
      <c r="W100" s="26">
        <f t="shared" si="27"/>
        <v>46812</v>
      </c>
      <c r="X100" s="144">
        <f t="shared" si="33"/>
        <v>2028</v>
      </c>
      <c r="Y100" s="22">
        <f t="shared" si="34"/>
        <v>40000</v>
      </c>
      <c r="Z100" s="132">
        <f t="shared" si="35"/>
        <v>160000</v>
      </c>
      <c r="AA100" s="135"/>
      <c r="AB100" s="136">
        <f t="shared" si="36"/>
      </c>
      <c r="AC100" s="136">
        <f t="shared" si="37"/>
      </c>
      <c r="AD100" s="136">
        <f t="shared" si="38"/>
      </c>
    </row>
    <row r="101" spans="6:30" ht="16.5" customHeight="1">
      <c r="F101" s="210">
        <f t="shared" si="39"/>
        <v>96</v>
      </c>
      <c r="G101" s="28">
        <f t="shared" si="29"/>
        <v>46812</v>
      </c>
      <c r="H101" s="29">
        <f t="shared" si="30"/>
        <v>46812</v>
      </c>
      <c r="I101" s="22">
        <f t="shared" si="46"/>
        <v>50000</v>
      </c>
      <c r="J101" s="30">
        <f t="shared" si="40"/>
        <v>46812</v>
      </c>
      <c r="K101" s="23">
        <f t="shared" si="47"/>
      </c>
      <c r="L101" s="29">
        <f t="shared" si="41"/>
        <v>46812</v>
      </c>
      <c r="M101" s="22">
        <f t="shared" si="42"/>
        <v>50000</v>
      </c>
      <c r="N101" s="23">
        <f t="shared" si="48"/>
      </c>
      <c r="O101" s="29">
        <f t="shared" si="31"/>
        <v>46812</v>
      </c>
      <c r="P101" s="22">
        <f t="shared" si="43"/>
        <v>50000</v>
      </c>
      <c r="Q101" s="23">
        <f t="shared" si="44"/>
      </c>
      <c r="R101" s="24">
        <f t="shared" si="45"/>
        <v>150000</v>
      </c>
      <c r="S101" s="211">
        <f t="shared" si="28"/>
        <v>2028</v>
      </c>
      <c r="T101" s="39"/>
      <c r="V101" s="25">
        <f t="shared" si="32"/>
        <v>97</v>
      </c>
      <c r="W101" s="26">
        <f t="shared" si="27"/>
        <v>46843</v>
      </c>
      <c r="X101" s="144">
        <f t="shared" si="33"/>
        <v>2028</v>
      </c>
      <c r="Y101" s="22">
        <f t="shared" si="34"/>
        <v>40000</v>
      </c>
      <c r="Z101" s="132">
        <f t="shared" si="35"/>
        <v>120000</v>
      </c>
      <c r="AA101" s="135"/>
      <c r="AB101" s="136">
        <f t="shared" si="36"/>
      </c>
      <c r="AC101" s="136">
        <f t="shared" si="37"/>
      </c>
      <c r="AD101" s="136">
        <f t="shared" si="38"/>
      </c>
    </row>
    <row r="102" spans="6:30" ht="16.5" customHeight="1">
      <c r="F102" s="210">
        <f t="shared" si="39"/>
        <v>97</v>
      </c>
      <c r="G102" s="28">
        <f t="shared" si="29"/>
        <v>46843</v>
      </c>
      <c r="H102" s="29">
        <f t="shared" si="30"/>
        <v>46843</v>
      </c>
      <c r="I102" s="22">
        <f t="shared" si="46"/>
        <v>50000</v>
      </c>
      <c r="J102" s="30">
        <f t="shared" si="40"/>
        <v>46843</v>
      </c>
      <c r="K102" s="23" t="str">
        <f t="shared" si="47"/>
        <v>１人目高校卒業</v>
      </c>
      <c r="L102" s="29">
        <f t="shared" si="41"/>
        <v>46843</v>
      </c>
      <c r="M102" s="22">
        <f t="shared" si="42"/>
        <v>50000</v>
      </c>
      <c r="N102" s="23">
        <f t="shared" si="48"/>
      </c>
      <c r="O102" s="29">
        <f t="shared" si="31"/>
        <v>46843</v>
      </c>
      <c r="P102" s="22">
        <f t="shared" si="43"/>
        <v>50000</v>
      </c>
      <c r="Q102" s="23">
        <f t="shared" si="44"/>
      </c>
      <c r="R102" s="24">
        <f t="shared" si="45"/>
        <v>150000</v>
      </c>
      <c r="S102" s="211">
        <f t="shared" si="28"/>
        <v>2028</v>
      </c>
      <c r="T102" s="39"/>
      <c r="V102" s="25">
        <f t="shared" si="32"/>
        <v>98</v>
      </c>
      <c r="W102" s="26">
        <f t="shared" si="27"/>
        <v>46873</v>
      </c>
      <c r="X102" s="144">
        <f t="shared" si="33"/>
        <v>2028</v>
      </c>
      <c r="Y102" s="22">
        <f t="shared" si="34"/>
        <v>40000</v>
      </c>
      <c r="Z102" s="132">
        <f t="shared" si="35"/>
        <v>80000</v>
      </c>
      <c r="AA102" s="135"/>
      <c r="AB102" s="136">
        <f t="shared" si="36"/>
      </c>
      <c r="AC102" s="136">
        <f t="shared" si="37"/>
      </c>
      <c r="AD102" s="136">
        <f t="shared" si="38"/>
      </c>
    </row>
    <row r="103" spans="6:30" ht="16.5" customHeight="1">
      <c r="F103" s="210">
        <f t="shared" si="39"/>
        <v>98</v>
      </c>
      <c r="G103" s="28">
        <f t="shared" si="29"/>
        <v>46873</v>
      </c>
      <c r="H103" s="29">
        <f t="shared" si="30"/>
        <v>46873</v>
      </c>
      <c r="I103" s="22">
        <f t="shared" si="46"/>
        <v>50000</v>
      </c>
      <c r="J103" s="30">
        <f t="shared" si="40"/>
        <v>46873</v>
      </c>
      <c r="K103" s="23">
        <f t="shared" si="47"/>
      </c>
      <c r="L103" s="29">
        <f t="shared" si="41"/>
        <v>46873</v>
      </c>
      <c r="M103" s="22">
        <f t="shared" si="42"/>
        <v>50000</v>
      </c>
      <c r="N103" s="23">
        <f t="shared" si="48"/>
      </c>
      <c r="O103" s="29">
        <f t="shared" si="31"/>
        <v>46873</v>
      </c>
      <c r="P103" s="22">
        <f t="shared" si="43"/>
        <v>50000</v>
      </c>
      <c r="Q103" s="23">
        <f t="shared" si="44"/>
      </c>
      <c r="R103" s="24">
        <f t="shared" si="45"/>
        <v>150000</v>
      </c>
      <c r="S103" s="211">
        <f t="shared" si="28"/>
        <v>2028</v>
      </c>
      <c r="T103" s="39"/>
      <c r="V103" s="25">
        <f t="shared" si="32"/>
        <v>99</v>
      </c>
      <c r="W103" s="26">
        <f t="shared" si="27"/>
        <v>46904</v>
      </c>
      <c r="X103" s="144">
        <f t="shared" si="33"/>
        <v>2028</v>
      </c>
      <c r="Y103" s="22">
        <f t="shared" si="34"/>
        <v>40000</v>
      </c>
      <c r="Z103" s="132">
        <f t="shared" si="35"/>
        <v>40000</v>
      </c>
      <c r="AA103" s="135"/>
      <c r="AB103" s="136">
        <f t="shared" si="36"/>
      </c>
      <c r="AC103" s="136">
        <f t="shared" si="37"/>
      </c>
      <c r="AD103" s="136">
        <f t="shared" si="38"/>
      </c>
    </row>
    <row r="104" spans="6:30" ht="16.5" customHeight="1">
      <c r="F104" s="210">
        <f t="shared" si="39"/>
        <v>99</v>
      </c>
      <c r="G104" s="28">
        <f t="shared" si="29"/>
        <v>46904</v>
      </c>
      <c r="H104" s="29">
        <f t="shared" si="30"/>
        <v>46904</v>
      </c>
      <c r="I104" s="22">
        <f t="shared" si="46"/>
        <v>50000</v>
      </c>
      <c r="J104" s="30">
        <f t="shared" si="40"/>
        <v>46904</v>
      </c>
      <c r="K104" s="23">
        <f t="shared" si="47"/>
      </c>
      <c r="L104" s="29">
        <f t="shared" si="41"/>
        <v>46904</v>
      </c>
      <c r="M104" s="22">
        <f t="shared" si="42"/>
        <v>50000</v>
      </c>
      <c r="N104" s="23" t="str">
        <f t="shared" si="48"/>
        <v>15歳誕生月</v>
      </c>
      <c r="O104" s="29">
        <f t="shared" si="31"/>
        <v>46904</v>
      </c>
      <c r="P104" s="22">
        <f t="shared" si="43"/>
        <v>50000</v>
      </c>
      <c r="Q104" s="23">
        <f t="shared" si="44"/>
      </c>
      <c r="R104" s="24">
        <f t="shared" si="45"/>
        <v>150000</v>
      </c>
      <c r="S104" s="211">
        <f t="shared" si="28"/>
        <v>2028</v>
      </c>
      <c r="T104" s="39"/>
      <c r="V104" s="25">
        <f t="shared" si="32"/>
        <v>100</v>
      </c>
      <c r="W104" s="26">
        <f t="shared" si="27"/>
        <v>46934</v>
      </c>
      <c r="X104" s="144">
        <f t="shared" si="33"/>
        <v>2028</v>
      </c>
      <c r="Y104" s="22">
        <f t="shared" si="34"/>
        <v>40000</v>
      </c>
      <c r="Z104" s="132">
        <f t="shared" si="35"/>
        <v>0</v>
      </c>
      <c r="AA104" s="135"/>
      <c r="AB104" s="136">
        <f t="shared" si="36"/>
      </c>
      <c r="AC104" s="136" t="str">
        <f t="shared" si="37"/>
        <v>15歳誕生月</v>
      </c>
      <c r="AD104" s="136">
        <f t="shared" si="38"/>
      </c>
    </row>
    <row r="105" spans="6:30" ht="16.5" customHeight="1">
      <c r="F105" s="210">
        <f t="shared" si="39"/>
        <v>100</v>
      </c>
      <c r="G105" s="28">
        <f t="shared" si="29"/>
        <v>46934</v>
      </c>
      <c r="H105" s="29">
        <f t="shared" si="30"/>
        <v>46934</v>
      </c>
      <c r="I105" s="22">
        <f t="shared" si="46"/>
        <v>50000</v>
      </c>
      <c r="J105" s="30">
        <f t="shared" si="40"/>
        <v>46934</v>
      </c>
      <c r="K105" s="23" t="str">
        <f t="shared" si="47"/>
        <v>19歳誕生月</v>
      </c>
      <c r="L105" s="29">
        <f t="shared" si="41"/>
        <v>46934</v>
      </c>
      <c r="M105" s="22">
        <f t="shared" si="42"/>
        <v>50000</v>
      </c>
      <c r="N105" s="23">
        <f t="shared" si="48"/>
      </c>
      <c r="O105" s="29">
        <f t="shared" si="31"/>
        <v>46934</v>
      </c>
      <c r="P105" s="22">
        <f t="shared" si="43"/>
        <v>50000</v>
      </c>
      <c r="Q105" s="23">
        <f t="shared" si="44"/>
      </c>
      <c r="R105" s="24">
        <f t="shared" si="45"/>
        <v>150000</v>
      </c>
      <c r="S105" s="211">
        <f t="shared" si="28"/>
        <v>2028</v>
      </c>
      <c r="T105" s="39"/>
      <c r="AB105" s="136" t="str">
        <f t="shared" si="36"/>
        <v>19歳誕生月</v>
      </c>
      <c r="AC105" s="136">
        <f t="shared" si="37"/>
      </c>
      <c r="AD105" s="136">
        <f t="shared" si="38"/>
      </c>
    </row>
    <row r="106" spans="6:30" ht="16.5" customHeight="1">
      <c r="F106" s="210">
        <f t="shared" si="39"/>
        <v>101</v>
      </c>
      <c r="G106" s="28">
        <f t="shared" si="29"/>
        <v>46965</v>
      </c>
      <c r="H106" s="29">
        <f t="shared" si="30"/>
        <v>46965</v>
      </c>
      <c r="I106" s="22">
        <f t="shared" si="46"/>
        <v>50000</v>
      </c>
      <c r="J106" s="30">
        <f t="shared" si="40"/>
        <v>46965</v>
      </c>
      <c r="K106" s="23">
        <f t="shared" si="47"/>
      </c>
      <c r="L106" s="29">
        <f t="shared" si="41"/>
        <v>46965</v>
      </c>
      <c r="M106" s="22">
        <f t="shared" si="42"/>
        <v>50000</v>
      </c>
      <c r="N106" s="23">
        <f t="shared" si="48"/>
      </c>
      <c r="O106" s="29">
        <f t="shared" si="31"/>
        <v>46965</v>
      </c>
      <c r="P106" s="22">
        <f t="shared" si="43"/>
        <v>50000</v>
      </c>
      <c r="Q106" s="23">
        <f t="shared" si="44"/>
      </c>
      <c r="R106" s="24">
        <f t="shared" si="45"/>
        <v>150000</v>
      </c>
      <c r="S106" s="211">
        <f t="shared" si="28"/>
        <v>2028</v>
      </c>
      <c r="T106" s="39"/>
      <c r="AB106" s="136">
        <f t="shared" si="36"/>
      </c>
      <c r="AC106" s="136">
        <f t="shared" si="37"/>
      </c>
      <c r="AD106" s="136">
        <f t="shared" si="38"/>
      </c>
    </row>
    <row r="107" spans="6:30" ht="16.5" customHeight="1">
      <c r="F107" s="210">
        <f t="shared" si="39"/>
        <v>102</v>
      </c>
      <c r="G107" s="28">
        <f t="shared" si="29"/>
        <v>46996</v>
      </c>
      <c r="H107" s="29">
        <f t="shared" si="30"/>
        <v>46996</v>
      </c>
      <c r="I107" s="22">
        <f t="shared" si="46"/>
        <v>50000</v>
      </c>
      <c r="J107" s="30">
        <f t="shared" si="40"/>
        <v>46996</v>
      </c>
      <c r="K107" s="23">
        <f t="shared" si="47"/>
      </c>
      <c r="L107" s="29">
        <f t="shared" si="41"/>
        <v>46996</v>
      </c>
      <c r="M107" s="22">
        <f t="shared" si="42"/>
        <v>50000</v>
      </c>
      <c r="N107" s="23">
        <f t="shared" si="48"/>
      </c>
      <c r="O107" s="29">
        <f t="shared" si="31"/>
        <v>46996</v>
      </c>
      <c r="P107" s="22">
        <f t="shared" si="43"/>
        <v>50000</v>
      </c>
      <c r="Q107" s="23">
        <f t="shared" si="44"/>
      </c>
      <c r="R107" s="24">
        <f t="shared" si="45"/>
        <v>150000</v>
      </c>
      <c r="S107" s="211">
        <f t="shared" si="28"/>
        <v>2028</v>
      </c>
      <c r="T107" s="39"/>
      <c r="AB107" s="136">
        <f t="shared" si="36"/>
      </c>
      <c r="AC107" s="136">
        <f t="shared" si="37"/>
      </c>
      <c r="AD107" s="136">
        <f t="shared" si="38"/>
      </c>
    </row>
    <row r="108" spans="6:30" ht="16.5" customHeight="1">
      <c r="F108" s="210">
        <f t="shared" si="39"/>
        <v>103</v>
      </c>
      <c r="G108" s="28">
        <f t="shared" si="29"/>
        <v>47026</v>
      </c>
      <c r="H108" s="29">
        <f t="shared" si="30"/>
        <v>47026</v>
      </c>
      <c r="I108" s="22">
        <f t="shared" si="46"/>
        <v>50000</v>
      </c>
      <c r="J108" s="30">
        <f t="shared" si="40"/>
        <v>47026</v>
      </c>
      <c r="K108" s="23">
        <f t="shared" si="47"/>
      </c>
      <c r="L108" s="29">
        <f t="shared" si="41"/>
        <v>47026</v>
      </c>
      <c r="M108" s="22">
        <f t="shared" si="42"/>
        <v>50000</v>
      </c>
      <c r="N108" s="23">
        <f t="shared" si="48"/>
      </c>
      <c r="O108" s="29">
        <f t="shared" si="31"/>
        <v>47026</v>
      </c>
      <c r="P108" s="22">
        <f t="shared" si="43"/>
        <v>50000</v>
      </c>
      <c r="Q108" s="23" t="str">
        <f t="shared" si="44"/>
        <v>10歳誕生月</v>
      </c>
      <c r="R108" s="24">
        <f t="shared" si="45"/>
        <v>150000</v>
      </c>
      <c r="S108" s="211">
        <f t="shared" si="28"/>
        <v>2028</v>
      </c>
      <c r="T108" s="39"/>
      <c r="AB108" s="136">
        <f t="shared" si="36"/>
      </c>
      <c r="AC108" s="136">
        <f t="shared" si="37"/>
      </c>
      <c r="AD108" s="136" t="str">
        <f t="shared" si="38"/>
        <v>10歳誕生月</v>
      </c>
    </row>
    <row r="109" spans="6:30" ht="16.5" customHeight="1">
      <c r="F109" s="210">
        <f t="shared" si="39"/>
        <v>104</v>
      </c>
      <c r="G109" s="28">
        <f t="shared" si="29"/>
        <v>47057</v>
      </c>
      <c r="H109" s="29">
        <f t="shared" si="30"/>
        <v>47057</v>
      </c>
      <c r="I109" s="22">
        <f t="shared" si="46"/>
        <v>50000</v>
      </c>
      <c r="J109" s="30">
        <f t="shared" si="40"/>
        <v>47057</v>
      </c>
      <c r="K109" s="23">
        <f t="shared" si="47"/>
      </c>
      <c r="L109" s="29">
        <f t="shared" si="41"/>
        <v>47057</v>
      </c>
      <c r="M109" s="22">
        <f t="shared" si="42"/>
        <v>50000</v>
      </c>
      <c r="N109" s="23">
        <f t="shared" si="48"/>
      </c>
      <c r="O109" s="29">
        <f t="shared" si="31"/>
        <v>47057</v>
      </c>
      <c r="P109" s="22">
        <f t="shared" si="43"/>
        <v>50000</v>
      </c>
      <c r="Q109" s="23">
        <f t="shared" si="44"/>
      </c>
      <c r="R109" s="24">
        <f t="shared" si="45"/>
        <v>150000</v>
      </c>
      <c r="S109" s="211">
        <f t="shared" si="28"/>
        <v>2028</v>
      </c>
      <c r="T109" s="39"/>
      <c r="AB109" s="136">
        <f t="shared" si="36"/>
      </c>
      <c r="AC109" s="136">
        <f t="shared" si="37"/>
      </c>
      <c r="AD109" s="136">
        <f t="shared" si="38"/>
      </c>
    </row>
    <row r="110" spans="6:30" ht="16.5" customHeight="1">
      <c r="F110" s="210">
        <f t="shared" si="39"/>
        <v>105</v>
      </c>
      <c r="G110" s="28">
        <f t="shared" si="29"/>
        <v>47087</v>
      </c>
      <c r="H110" s="29">
        <f t="shared" si="30"/>
        <v>47087</v>
      </c>
      <c r="I110" s="22">
        <f t="shared" si="46"/>
        <v>50000</v>
      </c>
      <c r="J110" s="30">
        <f t="shared" si="40"/>
        <v>47087</v>
      </c>
      <c r="K110" s="23">
        <f t="shared" si="47"/>
      </c>
      <c r="L110" s="29">
        <f t="shared" si="41"/>
        <v>47087</v>
      </c>
      <c r="M110" s="22">
        <f t="shared" si="42"/>
        <v>50000</v>
      </c>
      <c r="N110" s="23">
        <f t="shared" si="48"/>
      </c>
      <c r="O110" s="29">
        <f t="shared" si="31"/>
        <v>47087</v>
      </c>
      <c r="P110" s="22">
        <f t="shared" si="43"/>
        <v>50000</v>
      </c>
      <c r="Q110" s="23">
        <f t="shared" si="44"/>
      </c>
      <c r="R110" s="24">
        <f t="shared" si="45"/>
        <v>150000</v>
      </c>
      <c r="S110" s="211">
        <f t="shared" si="28"/>
        <v>2028</v>
      </c>
      <c r="T110" s="39"/>
      <c r="AB110" s="136">
        <f t="shared" si="36"/>
      </c>
      <c r="AC110" s="136">
        <f t="shared" si="37"/>
      </c>
      <c r="AD110" s="136">
        <f t="shared" si="38"/>
      </c>
    </row>
    <row r="111" spans="6:30" ht="16.5" customHeight="1">
      <c r="F111" s="210">
        <f t="shared" si="39"/>
        <v>106</v>
      </c>
      <c r="G111" s="28">
        <f t="shared" si="29"/>
        <v>47118</v>
      </c>
      <c r="H111" s="29">
        <f t="shared" si="30"/>
        <v>47118</v>
      </c>
      <c r="I111" s="22">
        <f t="shared" si="46"/>
        <v>50000</v>
      </c>
      <c r="J111" s="30">
        <f t="shared" si="40"/>
        <v>47118</v>
      </c>
      <c r="K111" s="23">
        <f t="shared" si="47"/>
      </c>
      <c r="L111" s="29">
        <f t="shared" si="41"/>
        <v>47118</v>
      </c>
      <c r="M111" s="22">
        <f t="shared" si="42"/>
        <v>50000</v>
      </c>
      <c r="N111" s="23">
        <f t="shared" si="48"/>
      </c>
      <c r="O111" s="29">
        <f t="shared" si="31"/>
        <v>47118</v>
      </c>
      <c r="P111" s="22">
        <f t="shared" si="43"/>
        <v>50000</v>
      </c>
      <c r="Q111" s="23">
        <f t="shared" si="44"/>
      </c>
      <c r="R111" s="24">
        <f t="shared" si="45"/>
        <v>150000</v>
      </c>
      <c r="S111" s="211">
        <f t="shared" si="28"/>
        <v>2028</v>
      </c>
      <c r="T111" s="39"/>
      <c r="AB111" s="136">
        <f t="shared" si="36"/>
      </c>
      <c r="AC111" s="136">
        <f t="shared" si="37"/>
      </c>
      <c r="AD111" s="136">
        <f t="shared" si="38"/>
      </c>
    </row>
    <row r="112" spans="6:30" ht="16.5" customHeight="1">
      <c r="F112" s="210">
        <f t="shared" si="39"/>
        <v>107</v>
      </c>
      <c r="G112" s="28">
        <f t="shared" si="29"/>
        <v>47149</v>
      </c>
      <c r="H112" s="29">
        <f t="shared" si="30"/>
        <v>47149</v>
      </c>
      <c r="I112" s="22">
        <f t="shared" si="46"/>
        <v>50000</v>
      </c>
      <c r="J112" s="30">
        <f t="shared" si="40"/>
        <v>47149</v>
      </c>
      <c r="K112" s="23">
        <f t="shared" si="47"/>
      </c>
      <c r="L112" s="29">
        <f t="shared" si="41"/>
        <v>47149</v>
      </c>
      <c r="M112" s="22">
        <f t="shared" si="42"/>
        <v>50000</v>
      </c>
      <c r="N112" s="23">
        <f t="shared" si="48"/>
      </c>
      <c r="O112" s="29">
        <f t="shared" si="31"/>
        <v>47149</v>
      </c>
      <c r="P112" s="22">
        <f t="shared" si="43"/>
        <v>50000</v>
      </c>
      <c r="Q112" s="23">
        <f t="shared" si="44"/>
      </c>
      <c r="R112" s="24">
        <f t="shared" si="45"/>
        <v>150000</v>
      </c>
      <c r="S112" s="211">
        <f t="shared" si="28"/>
        <v>2029</v>
      </c>
      <c r="T112" s="39"/>
      <c r="AB112" s="136">
        <f t="shared" si="36"/>
      </c>
      <c r="AC112" s="136">
        <f t="shared" si="37"/>
      </c>
      <c r="AD112" s="136">
        <f t="shared" si="38"/>
      </c>
    </row>
    <row r="113" spans="6:30" ht="16.5" customHeight="1">
      <c r="F113" s="210">
        <f t="shared" si="39"/>
        <v>108</v>
      </c>
      <c r="G113" s="28">
        <f t="shared" si="29"/>
        <v>47177</v>
      </c>
      <c r="H113" s="29">
        <f t="shared" si="30"/>
        <v>47177</v>
      </c>
      <c r="I113" s="22">
        <f t="shared" si="46"/>
        <v>50000</v>
      </c>
      <c r="J113" s="30">
        <f t="shared" si="40"/>
        <v>47177</v>
      </c>
      <c r="K113" s="23">
        <f t="shared" si="47"/>
      </c>
      <c r="L113" s="29">
        <f t="shared" si="41"/>
        <v>47177</v>
      </c>
      <c r="M113" s="22">
        <f t="shared" si="42"/>
        <v>50000</v>
      </c>
      <c r="N113" s="23">
        <f t="shared" si="48"/>
      </c>
      <c r="O113" s="29">
        <f t="shared" si="31"/>
        <v>47177</v>
      </c>
      <c r="P113" s="22">
        <f t="shared" si="43"/>
        <v>50000</v>
      </c>
      <c r="Q113" s="23">
        <f t="shared" si="44"/>
      </c>
      <c r="R113" s="24">
        <f t="shared" si="45"/>
        <v>150000</v>
      </c>
      <c r="S113" s="211">
        <f t="shared" si="28"/>
        <v>2029</v>
      </c>
      <c r="T113" s="39"/>
      <c r="AB113" s="136">
        <f t="shared" si="36"/>
      </c>
      <c r="AC113" s="136">
        <f t="shared" si="37"/>
      </c>
      <c r="AD113" s="136">
        <f t="shared" si="38"/>
      </c>
    </row>
    <row r="114" spans="6:30" ht="16.5" customHeight="1">
      <c r="F114" s="210">
        <f t="shared" si="39"/>
        <v>109</v>
      </c>
      <c r="G114" s="28">
        <f t="shared" si="29"/>
        <v>47208</v>
      </c>
      <c r="H114" s="29">
        <f t="shared" si="30"/>
        <v>47208</v>
      </c>
      <c r="I114" s="22">
        <f t="shared" si="46"/>
        <v>50000</v>
      </c>
      <c r="J114" s="30">
        <f t="shared" si="40"/>
        <v>47208</v>
      </c>
      <c r="K114" s="23">
        <f t="shared" si="47"/>
      </c>
      <c r="L114" s="29">
        <f t="shared" si="41"/>
        <v>47208</v>
      </c>
      <c r="M114" s="22">
        <f t="shared" si="42"/>
        <v>50000</v>
      </c>
      <c r="N114" s="23" t="str">
        <f t="shared" si="48"/>
        <v>２人目中学卒業</v>
      </c>
      <c r="O114" s="29">
        <f t="shared" si="31"/>
        <v>47208</v>
      </c>
      <c r="P114" s="22">
        <f t="shared" si="43"/>
        <v>50000</v>
      </c>
      <c r="Q114" s="23">
        <f t="shared" si="44"/>
      </c>
      <c r="R114" s="24">
        <f t="shared" si="45"/>
        <v>150000</v>
      </c>
      <c r="S114" s="211">
        <f t="shared" si="28"/>
        <v>2029</v>
      </c>
      <c r="T114" s="39"/>
      <c r="AB114" s="136">
        <f t="shared" si="36"/>
      </c>
      <c r="AC114" s="136">
        <f t="shared" si="37"/>
      </c>
      <c r="AD114" s="136">
        <f t="shared" si="38"/>
      </c>
    </row>
    <row r="115" spans="6:30" ht="16.5" customHeight="1">
      <c r="F115" s="210">
        <f t="shared" si="39"/>
        <v>110</v>
      </c>
      <c r="G115" s="28">
        <f t="shared" si="29"/>
        <v>47238</v>
      </c>
      <c r="H115" s="29">
        <f t="shared" si="30"/>
        <v>47238</v>
      </c>
      <c r="I115" s="22">
        <f t="shared" si="46"/>
        <v>50000</v>
      </c>
      <c r="J115" s="30">
        <f t="shared" si="40"/>
        <v>47238</v>
      </c>
      <c r="K115" s="23">
        <f t="shared" si="47"/>
      </c>
      <c r="L115" s="29">
        <f t="shared" si="41"/>
        <v>47238</v>
      </c>
      <c r="M115" s="22">
        <f t="shared" si="42"/>
        <v>50000</v>
      </c>
      <c r="N115" s="23">
        <f t="shared" si="48"/>
      </c>
      <c r="O115" s="29">
        <f t="shared" si="31"/>
        <v>47238</v>
      </c>
      <c r="P115" s="22">
        <f t="shared" si="43"/>
        <v>50000</v>
      </c>
      <c r="Q115" s="23">
        <f t="shared" si="44"/>
      </c>
      <c r="R115" s="24">
        <f t="shared" si="45"/>
        <v>150000</v>
      </c>
      <c r="S115" s="211">
        <f t="shared" si="28"/>
        <v>2029</v>
      </c>
      <c r="T115" s="39"/>
      <c r="AB115" s="136">
        <f t="shared" si="36"/>
      </c>
      <c r="AC115" s="136">
        <f t="shared" si="37"/>
      </c>
      <c r="AD115" s="136">
        <f t="shared" si="38"/>
      </c>
    </row>
    <row r="116" spans="6:30" ht="16.5" customHeight="1">
      <c r="F116" s="210">
        <f t="shared" si="39"/>
        <v>111</v>
      </c>
      <c r="G116" s="28">
        <f t="shared" si="29"/>
        <v>47269</v>
      </c>
      <c r="H116" s="29">
        <f t="shared" si="30"/>
        <v>47269</v>
      </c>
      <c r="I116" s="22">
        <f>IF(H116="","",IF(AND(D$12&lt;&gt;0,H116&gt;D$12),D$13,I115))</f>
        <v>50000</v>
      </c>
      <c r="J116" s="30">
        <f t="shared" si="40"/>
        <v>47269</v>
      </c>
      <c r="K116" s="23">
        <f t="shared" si="47"/>
      </c>
      <c r="L116" s="29">
        <f t="shared" si="41"/>
        <v>47269</v>
      </c>
      <c r="M116" s="22">
        <f t="shared" si="42"/>
        <v>50000</v>
      </c>
      <c r="N116" s="23" t="str">
        <f t="shared" si="48"/>
        <v>16歳誕生月</v>
      </c>
      <c r="O116" s="29">
        <f t="shared" si="31"/>
        <v>47269</v>
      </c>
      <c r="P116" s="22">
        <f t="shared" si="43"/>
        <v>50000</v>
      </c>
      <c r="Q116" s="23">
        <f t="shared" si="44"/>
      </c>
      <c r="R116" s="24">
        <f t="shared" si="45"/>
        <v>150000</v>
      </c>
      <c r="S116" s="211">
        <f t="shared" si="28"/>
        <v>2029</v>
      </c>
      <c r="T116" s="39"/>
      <c r="AB116" s="136">
        <f t="shared" si="36"/>
      </c>
      <c r="AC116" s="136" t="str">
        <f t="shared" si="37"/>
        <v>16歳誕生月</v>
      </c>
      <c r="AD116" s="136">
        <f t="shared" si="38"/>
      </c>
    </row>
    <row r="117" spans="6:30" ht="16.5" customHeight="1">
      <c r="F117" s="210">
        <f t="shared" si="39"/>
        <v>112</v>
      </c>
      <c r="G117" s="28">
        <f t="shared" si="29"/>
        <v>47299</v>
      </c>
      <c r="H117" s="29">
        <f>IF(H116="","",IF(G117&gt;DATE(YEAR(D$11),MONTH(D$11)+1,0),"",IF(DAY(G117)&lt;&gt;D$9,DATE(YEAR(G117),MONTH(G117)+1,0),G117)))</f>
        <v>47299</v>
      </c>
      <c r="I117" s="22">
        <f t="shared" si="46"/>
        <v>50000</v>
      </c>
      <c r="J117" s="30">
        <f t="shared" si="40"/>
        <v>47299</v>
      </c>
      <c r="K117" s="23" t="str">
        <f t="shared" si="47"/>
        <v>１人目成人</v>
      </c>
      <c r="L117" s="29">
        <f t="shared" si="41"/>
        <v>47299</v>
      </c>
      <c r="M117" s="22">
        <f t="shared" si="42"/>
        <v>50000</v>
      </c>
      <c r="N117" s="23">
        <f t="shared" si="48"/>
      </c>
      <c r="O117" s="29">
        <f t="shared" si="31"/>
        <v>47299</v>
      </c>
      <c r="P117" s="22">
        <f t="shared" si="43"/>
        <v>50000</v>
      </c>
      <c r="Q117" s="23">
        <f t="shared" si="44"/>
      </c>
      <c r="R117" s="24">
        <f t="shared" si="45"/>
        <v>150000</v>
      </c>
      <c r="S117" s="211">
        <f t="shared" si="28"/>
        <v>2029</v>
      </c>
      <c r="T117" s="39"/>
      <c r="AB117" s="136" t="str">
        <f t="shared" si="36"/>
        <v>20歳誕生月</v>
      </c>
      <c r="AC117" s="136">
        <f t="shared" si="37"/>
      </c>
      <c r="AD117" s="136">
        <f t="shared" si="38"/>
      </c>
    </row>
    <row r="118" spans="6:30" ht="16.5" customHeight="1">
      <c r="F118" s="210">
        <f t="shared" si="39"/>
        <v>113</v>
      </c>
      <c r="G118" s="28">
        <f t="shared" si="29"/>
        <v>47330</v>
      </c>
      <c r="H118" s="29">
        <f>IF(H117="","",IF(G118&gt;DATE(YEAR(D$11),MONTH(D$11)+1,0),"",IF(DAY(G118)&lt;&gt;D$9,DATE(YEAR(G118),MONTH(G118)+1,0),G118)))</f>
      </c>
      <c r="I118" s="22">
        <f t="shared" si="46"/>
      </c>
      <c r="J118" s="30">
        <f t="shared" si="40"/>
        <v>47330</v>
      </c>
      <c r="K118" s="23">
        <f t="shared" si="47"/>
      </c>
      <c r="L118" s="29">
        <f t="shared" si="41"/>
        <v>47330</v>
      </c>
      <c r="M118" s="22">
        <f t="shared" si="42"/>
        <v>50000</v>
      </c>
      <c r="N118" s="23">
        <f t="shared" si="48"/>
      </c>
      <c r="O118" s="29">
        <f t="shared" si="31"/>
        <v>47330</v>
      </c>
      <c r="P118" s="22">
        <f t="shared" si="43"/>
        <v>50000</v>
      </c>
      <c r="Q118" s="23">
        <f t="shared" si="44"/>
      </c>
      <c r="R118" s="24">
        <f t="shared" si="45"/>
        <v>100000</v>
      </c>
      <c r="S118" s="211">
        <f t="shared" si="28"/>
        <v>2029</v>
      </c>
      <c r="T118" s="39"/>
      <c r="AB118" s="136">
        <f t="shared" si="36"/>
      </c>
      <c r="AC118" s="136">
        <f t="shared" si="37"/>
      </c>
      <c r="AD118" s="136">
        <f t="shared" si="38"/>
      </c>
    </row>
    <row r="119" spans="6:30" ht="16.5" customHeight="1">
      <c r="F119" s="210">
        <f t="shared" si="39"/>
        <v>114</v>
      </c>
      <c r="G119" s="28">
        <f t="shared" si="29"/>
        <v>47361</v>
      </c>
      <c r="H119" s="29">
        <f aca="true" t="shared" si="49" ref="H119:H182">IF(H118="","",IF(G119&gt;DATE(YEAR(D$11),MONTH(D$11)+1,0),"",IF(DAY(G119)&lt;&gt;D$9,DATE(YEAR(G119),MONTH(G119)+1,0),G119)))</f>
      </c>
      <c r="I119" s="22">
        <f t="shared" si="46"/>
      </c>
      <c r="J119" s="30">
        <f t="shared" si="40"/>
        <v>47361</v>
      </c>
      <c r="K119" s="23">
        <f t="shared" si="47"/>
      </c>
      <c r="L119" s="29">
        <f t="shared" si="41"/>
        <v>47361</v>
      </c>
      <c r="M119" s="22">
        <f t="shared" si="42"/>
        <v>50000</v>
      </c>
      <c r="N119" s="23">
        <f t="shared" si="48"/>
      </c>
      <c r="O119" s="29">
        <f t="shared" si="31"/>
        <v>47361</v>
      </c>
      <c r="P119" s="22">
        <f t="shared" si="43"/>
        <v>50000</v>
      </c>
      <c r="Q119" s="23">
        <f t="shared" si="44"/>
      </c>
      <c r="R119" s="24">
        <f t="shared" si="45"/>
        <v>100000</v>
      </c>
      <c r="S119" s="211">
        <f t="shared" si="28"/>
        <v>2029</v>
      </c>
      <c r="T119" s="39"/>
      <c r="AB119" s="136">
        <f t="shared" si="36"/>
      </c>
      <c r="AC119" s="136">
        <f t="shared" si="37"/>
      </c>
      <c r="AD119" s="136">
        <f t="shared" si="38"/>
      </c>
    </row>
    <row r="120" spans="6:30" ht="16.5" customHeight="1">
      <c r="F120" s="210">
        <f t="shared" si="39"/>
        <v>115</v>
      </c>
      <c r="G120" s="28">
        <f t="shared" si="29"/>
        <v>47391</v>
      </c>
      <c r="H120" s="29">
        <f t="shared" si="49"/>
      </c>
      <c r="I120" s="22">
        <f t="shared" si="46"/>
      </c>
      <c r="J120" s="30">
        <f t="shared" si="40"/>
        <v>47391</v>
      </c>
      <c r="K120" s="23">
        <f t="shared" si="47"/>
      </c>
      <c r="L120" s="29">
        <f t="shared" si="41"/>
        <v>47391</v>
      </c>
      <c r="M120" s="22">
        <f t="shared" si="42"/>
        <v>50000</v>
      </c>
      <c r="N120" s="23">
        <f t="shared" si="48"/>
      </c>
      <c r="O120" s="29">
        <f t="shared" si="31"/>
        <v>47391</v>
      </c>
      <c r="P120" s="22">
        <f t="shared" si="43"/>
        <v>50000</v>
      </c>
      <c r="Q120" s="23" t="str">
        <f t="shared" si="44"/>
        <v>11歳誕生月</v>
      </c>
      <c r="R120" s="24">
        <f t="shared" si="45"/>
        <v>100000</v>
      </c>
      <c r="S120" s="211">
        <f t="shared" si="28"/>
        <v>2029</v>
      </c>
      <c r="T120" s="39"/>
      <c r="AB120" s="136">
        <f t="shared" si="36"/>
      </c>
      <c r="AC120" s="136">
        <f t="shared" si="37"/>
      </c>
      <c r="AD120" s="136" t="str">
        <f t="shared" si="38"/>
        <v>11歳誕生月</v>
      </c>
    </row>
    <row r="121" spans="6:30" ht="16.5" customHeight="1">
      <c r="F121" s="210">
        <f t="shared" si="39"/>
        <v>116</v>
      </c>
      <c r="G121" s="28">
        <f t="shared" si="29"/>
        <v>47422</v>
      </c>
      <c r="H121" s="29">
        <f t="shared" si="49"/>
      </c>
      <c r="I121" s="22">
        <f t="shared" si="46"/>
      </c>
      <c r="J121" s="30">
        <f t="shared" si="40"/>
        <v>47422</v>
      </c>
      <c r="K121" s="23">
        <f t="shared" si="47"/>
      </c>
      <c r="L121" s="29">
        <f t="shared" si="41"/>
        <v>47422</v>
      </c>
      <c r="M121" s="22">
        <f t="shared" si="42"/>
        <v>50000</v>
      </c>
      <c r="N121" s="23">
        <f t="shared" si="48"/>
      </c>
      <c r="O121" s="29">
        <f t="shared" si="31"/>
        <v>47422</v>
      </c>
      <c r="P121" s="22">
        <f t="shared" si="43"/>
        <v>50000</v>
      </c>
      <c r="Q121" s="23">
        <f t="shared" si="44"/>
      </c>
      <c r="R121" s="24">
        <f t="shared" si="45"/>
        <v>100000</v>
      </c>
      <c r="S121" s="211">
        <f t="shared" si="28"/>
        <v>2029</v>
      </c>
      <c r="T121" s="39"/>
      <c r="AB121" s="136">
        <f t="shared" si="36"/>
      </c>
      <c r="AC121" s="136">
        <f t="shared" si="37"/>
      </c>
      <c r="AD121" s="136">
        <f t="shared" si="38"/>
      </c>
    </row>
    <row r="122" spans="6:30" ht="16.5" customHeight="1">
      <c r="F122" s="210">
        <f t="shared" si="39"/>
        <v>117</v>
      </c>
      <c r="G122" s="28">
        <f t="shared" si="29"/>
        <v>47452</v>
      </c>
      <c r="H122" s="29">
        <f t="shared" si="49"/>
      </c>
      <c r="I122" s="22">
        <f t="shared" si="46"/>
      </c>
      <c r="J122" s="30">
        <f t="shared" si="40"/>
        <v>47452</v>
      </c>
      <c r="K122" s="23">
        <f t="shared" si="47"/>
      </c>
      <c r="L122" s="29">
        <f t="shared" si="41"/>
        <v>47452</v>
      </c>
      <c r="M122" s="22">
        <f t="shared" si="42"/>
        <v>50000</v>
      </c>
      <c r="N122" s="23">
        <f t="shared" si="48"/>
      </c>
      <c r="O122" s="29">
        <f t="shared" si="31"/>
        <v>47452</v>
      </c>
      <c r="P122" s="22">
        <f t="shared" si="43"/>
        <v>50000</v>
      </c>
      <c r="Q122" s="23">
        <f t="shared" si="44"/>
      </c>
      <c r="R122" s="24">
        <f t="shared" si="45"/>
        <v>100000</v>
      </c>
      <c r="S122" s="211">
        <f t="shared" si="28"/>
        <v>2029</v>
      </c>
      <c r="T122" s="39"/>
      <c r="AB122" s="136">
        <f t="shared" si="36"/>
      </c>
      <c r="AC122" s="136">
        <f t="shared" si="37"/>
      </c>
      <c r="AD122" s="136">
        <f t="shared" si="38"/>
      </c>
    </row>
    <row r="123" spans="6:30" ht="16.5" customHeight="1">
      <c r="F123" s="210">
        <f t="shared" si="39"/>
        <v>118</v>
      </c>
      <c r="G123" s="28">
        <f t="shared" si="29"/>
        <v>47483</v>
      </c>
      <c r="H123" s="29">
        <f t="shared" si="49"/>
      </c>
      <c r="I123" s="22">
        <f t="shared" si="46"/>
      </c>
      <c r="J123" s="30">
        <f t="shared" si="40"/>
        <v>47483</v>
      </c>
      <c r="K123" s="23">
        <f t="shared" si="47"/>
      </c>
      <c r="L123" s="29">
        <f t="shared" si="41"/>
        <v>47483</v>
      </c>
      <c r="M123" s="22">
        <f t="shared" si="42"/>
        <v>50000</v>
      </c>
      <c r="N123" s="23">
        <f t="shared" si="48"/>
      </c>
      <c r="O123" s="29">
        <f t="shared" si="31"/>
        <v>47483</v>
      </c>
      <c r="P123" s="22">
        <f t="shared" si="43"/>
        <v>50000</v>
      </c>
      <c r="Q123" s="23">
        <f t="shared" si="44"/>
      </c>
      <c r="R123" s="24">
        <f t="shared" si="45"/>
        <v>100000</v>
      </c>
      <c r="S123" s="211">
        <f t="shared" si="28"/>
        <v>2029</v>
      </c>
      <c r="T123" s="39"/>
      <c r="AB123" s="136">
        <f t="shared" si="36"/>
      </c>
      <c r="AC123" s="136">
        <f t="shared" si="37"/>
      </c>
      <c r="AD123" s="136">
        <f t="shared" si="38"/>
      </c>
    </row>
    <row r="124" spans="6:30" ht="16.5" customHeight="1">
      <c r="F124" s="210">
        <f t="shared" si="39"/>
        <v>119</v>
      </c>
      <c r="G124" s="28">
        <f t="shared" si="29"/>
        <v>47514</v>
      </c>
      <c r="H124" s="29">
        <f t="shared" si="49"/>
      </c>
      <c r="I124" s="22">
        <f t="shared" si="46"/>
      </c>
      <c r="J124" s="30">
        <f t="shared" si="40"/>
        <v>47514</v>
      </c>
      <c r="K124" s="23">
        <f t="shared" si="47"/>
      </c>
      <c r="L124" s="29">
        <f t="shared" si="41"/>
        <v>47514</v>
      </c>
      <c r="M124" s="22">
        <f t="shared" si="42"/>
        <v>50000</v>
      </c>
      <c r="N124" s="23">
        <f t="shared" si="48"/>
      </c>
      <c r="O124" s="29">
        <f t="shared" si="31"/>
        <v>47514</v>
      </c>
      <c r="P124" s="22">
        <f t="shared" si="43"/>
        <v>50000</v>
      </c>
      <c r="Q124" s="23">
        <f t="shared" si="44"/>
      </c>
      <c r="R124" s="24">
        <f t="shared" si="45"/>
        <v>100000</v>
      </c>
      <c r="S124" s="211">
        <f t="shared" si="28"/>
        <v>2030</v>
      </c>
      <c r="T124" s="39"/>
      <c r="AB124" s="136">
        <f t="shared" si="36"/>
      </c>
      <c r="AC124" s="136">
        <f t="shared" si="37"/>
      </c>
      <c r="AD124" s="136">
        <f t="shared" si="38"/>
      </c>
    </row>
    <row r="125" spans="6:30" ht="16.5" customHeight="1">
      <c r="F125" s="210">
        <f t="shared" si="39"/>
        <v>120</v>
      </c>
      <c r="G125" s="28">
        <f t="shared" si="29"/>
        <v>47542</v>
      </c>
      <c r="H125" s="29">
        <f t="shared" si="49"/>
      </c>
      <c r="I125" s="22">
        <f t="shared" si="46"/>
      </c>
      <c r="J125" s="30">
        <f t="shared" si="40"/>
        <v>47542</v>
      </c>
      <c r="K125" s="23">
        <f t="shared" si="47"/>
      </c>
      <c r="L125" s="29">
        <f t="shared" si="41"/>
        <v>47542</v>
      </c>
      <c r="M125" s="22">
        <f t="shared" si="42"/>
        <v>50000</v>
      </c>
      <c r="N125" s="23">
        <f t="shared" si="48"/>
      </c>
      <c r="O125" s="29">
        <f t="shared" si="31"/>
        <v>47542</v>
      </c>
      <c r="P125" s="22">
        <f t="shared" si="43"/>
        <v>50000</v>
      </c>
      <c r="Q125" s="23">
        <f t="shared" si="44"/>
      </c>
      <c r="R125" s="24">
        <f t="shared" si="45"/>
        <v>100000</v>
      </c>
      <c r="S125" s="211">
        <f t="shared" si="28"/>
        <v>2030</v>
      </c>
      <c r="T125" s="39"/>
      <c r="AB125" s="136">
        <f t="shared" si="36"/>
      </c>
      <c r="AC125" s="136">
        <f t="shared" si="37"/>
      </c>
      <c r="AD125" s="136">
        <f t="shared" si="38"/>
      </c>
    </row>
    <row r="126" spans="6:30" ht="16.5" customHeight="1">
      <c r="F126" s="210">
        <f t="shared" si="39"/>
        <v>121</v>
      </c>
      <c r="G126" s="28">
        <f t="shared" si="29"/>
        <v>47573</v>
      </c>
      <c r="H126" s="29">
        <f t="shared" si="49"/>
      </c>
      <c r="I126" s="22">
        <f t="shared" si="46"/>
      </c>
      <c r="J126" s="30">
        <f t="shared" si="40"/>
        <v>47573</v>
      </c>
      <c r="K126" s="23">
        <f t="shared" si="47"/>
      </c>
      <c r="L126" s="29">
        <f t="shared" si="41"/>
        <v>47573</v>
      </c>
      <c r="M126" s="22">
        <f t="shared" si="42"/>
        <v>50000</v>
      </c>
      <c r="N126" s="23">
        <f t="shared" si="48"/>
      </c>
      <c r="O126" s="29">
        <f t="shared" si="31"/>
        <v>47573</v>
      </c>
      <c r="P126" s="22">
        <f t="shared" si="43"/>
        <v>50000</v>
      </c>
      <c r="Q126" s="23">
        <f t="shared" si="44"/>
      </c>
      <c r="R126" s="24">
        <f t="shared" si="45"/>
        <v>100000</v>
      </c>
      <c r="S126" s="211">
        <f t="shared" si="28"/>
        <v>2030</v>
      </c>
      <c r="T126" s="39"/>
      <c r="AB126" s="136">
        <f t="shared" si="36"/>
      </c>
      <c r="AC126" s="136">
        <f t="shared" si="37"/>
      </c>
      <c r="AD126" s="136">
        <f t="shared" si="38"/>
      </c>
    </row>
    <row r="127" spans="6:30" ht="16.5" customHeight="1">
      <c r="F127" s="210">
        <f t="shared" si="39"/>
        <v>122</v>
      </c>
      <c r="G127" s="28">
        <f t="shared" si="29"/>
        <v>47603</v>
      </c>
      <c r="H127" s="29">
        <f t="shared" si="49"/>
      </c>
      <c r="I127" s="22">
        <f t="shared" si="46"/>
      </c>
      <c r="J127" s="30">
        <f t="shared" si="40"/>
        <v>47603</v>
      </c>
      <c r="K127" s="23">
        <f t="shared" si="47"/>
      </c>
      <c r="L127" s="29">
        <f t="shared" si="41"/>
        <v>47603</v>
      </c>
      <c r="M127" s="22">
        <f t="shared" si="42"/>
        <v>50000</v>
      </c>
      <c r="N127" s="23">
        <f t="shared" si="48"/>
      </c>
      <c r="O127" s="29">
        <f t="shared" si="31"/>
        <v>47603</v>
      </c>
      <c r="P127" s="22">
        <f t="shared" si="43"/>
        <v>50000</v>
      </c>
      <c r="Q127" s="23">
        <f t="shared" si="44"/>
      </c>
      <c r="R127" s="24">
        <f t="shared" si="45"/>
        <v>100000</v>
      </c>
      <c r="S127" s="211">
        <f t="shared" si="28"/>
        <v>2030</v>
      </c>
      <c r="T127" s="39"/>
      <c r="AB127" s="136">
        <f t="shared" si="36"/>
      </c>
      <c r="AC127" s="136">
        <f t="shared" si="37"/>
      </c>
      <c r="AD127" s="136">
        <f t="shared" si="38"/>
      </c>
    </row>
    <row r="128" spans="6:30" ht="16.5" customHeight="1">
      <c r="F128" s="210">
        <f t="shared" si="39"/>
        <v>123</v>
      </c>
      <c r="G128" s="28">
        <f t="shared" si="29"/>
        <v>47634</v>
      </c>
      <c r="H128" s="29">
        <f t="shared" si="49"/>
      </c>
      <c r="I128" s="22">
        <f t="shared" si="46"/>
      </c>
      <c r="J128" s="30">
        <f t="shared" si="40"/>
        <v>47634</v>
      </c>
      <c r="K128" s="23">
        <f t="shared" si="47"/>
      </c>
      <c r="L128" s="29">
        <f t="shared" si="41"/>
        <v>47634</v>
      </c>
      <c r="M128" s="22">
        <f t="shared" si="42"/>
        <v>50000</v>
      </c>
      <c r="N128" s="23" t="str">
        <f t="shared" si="48"/>
        <v>17歳誕生月</v>
      </c>
      <c r="O128" s="29">
        <f t="shared" si="31"/>
        <v>47634</v>
      </c>
      <c r="P128" s="22">
        <f t="shared" si="43"/>
        <v>50000</v>
      </c>
      <c r="Q128" s="23">
        <f t="shared" si="44"/>
      </c>
      <c r="R128" s="24">
        <f t="shared" si="45"/>
        <v>100000</v>
      </c>
      <c r="S128" s="211">
        <f t="shared" si="28"/>
        <v>2030</v>
      </c>
      <c r="T128" s="39"/>
      <c r="AB128" s="136">
        <f t="shared" si="36"/>
      </c>
      <c r="AC128" s="136" t="str">
        <f t="shared" si="37"/>
        <v>17歳誕生月</v>
      </c>
      <c r="AD128" s="136">
        <f t="shared" si="38"/>
      </c>
    </row>
    <row r="129" spans="6:30" ht="16.5" customHeight="1">
      <c r="F129" s="210">
        <f t="shared" si="39"/>
        <v>124</v>
      </c>
      <c r="G129" s="28">
        <f t="shared" si="29"/>
        <v>47664</v>
      </c>
      <c r="H129" s="29">
        <f t="shared" si="49"/>
      </c>
      <c r="I129" s="22">
        <f t="shared" si="46"/>
      </c>
      <c r="J129" s="30">
        <f t="shared" si="40"/>
        <v>47664</v>
      </c>
      <c r="K129" s="23">
        <f t="shared" si="47"/>
      </c>
      <c r="L129" s="29">
        <f t="shared" si="41"/>
        <v>47664</v>
      </c>
      <c r="M129" s="22">
        <f t="shared" si="42"/>
        <v>50000</v>
      </c>
      <c r="N129" s="23">
        <f t="shared" si="48"/>
      </c>
      <c r="O129" s="29">
        <f t="shared" si="31"/>
        <v>47664</v>
      </c>
      <c r="P129" s="22">
        <f t="shared" si="43"/>
        <v>50000</v>
      </c>
      <c r="Q129" s="23">
        <f t="shared" si="44"/>
      </c>
      <c r="R129" s="24">
        <f t="shared" si="45"/>
        <v>100000</v>
      </c>
      <c r="S129" s="211">
        <f t="shared" si="28"/>
        <v>2030</v>
      </c>
      <c r="T129" s="39"/>
      <c r="AB129" s="136">
        <f t="shared" si="36"/>
      </c>
      <c r="AC129" s="136">
        <f t="shared" si="37"/>
      </c>
      <c r="AD129" s="136">
        <f t="shared" si="38"/>
      </c>
    </row>
    <row r="130" spans="6:30" ht="16.5" customHeight="1">
      <c r="F130" s="210">
        <f t="shared" si="39"/>
        <v>125</v>
      </c>
      <c r="G130" s="28">
        <f t="shared" si="29"/>
        <v>47695</v>
      </c>
      <c r="H130" s="29">
        <f t="shared" si="49"/>
      </c>
      <c r="I130" s="22">
        <f t="shared" si="46"/>
      </c>
      <c r="J130" s="30">
        <f t="shared" si="40"/>
        <v>47695</v>
      </c>
      <c r="K130" s="23">
        <f t="shared" si="47"/>
      </c>
      <c r="L130" s="29">
        <f t="shared" si="41"/>
        <v>47695</v>
      </c>
      <c r="M130" s="22">
        <f t="shared" si="42"/>
        <v>50000</v>
      </c>
      <c r="N130" s="23">
        <f t="shared" si="48"/>
      </c>
      <c r="O130" s="29">
        <f t="shared" si="31"/>
        <v>47695</v>
      </c>
      <c r="P130" s="22">
        <f t="shared" si="43"/>
        <v>50000</v>
      </c>
      <c r="Q130" s="23">
        <f t="shared" si="44"/>
      </c>
      <c r="R130" s="24">
        <f t="shared" si="45"/>
        <v>100000</v>
      </c>
      <c r="S130" s="211">
        <f t="shared" si="28"/>
        <v>2030</v>
      </c>
      <c r="T130" s="39"/>
      <c r="AB130" s="136">
        <f t="shared" si="36"/>
      </c>
      <c r="AC130" s="136">
        <f t="shared" si="37"/>
      </c>
      <c r="AD130" s="136">
        <f t="shared" si="38"/>
      </c>
    </row>
    <row r="131" spans="6:30" ht="16.5" customHeight="1">
      <c r="F131" s="210">
        <f t="shared" si="39"/>
        <v>126</v>
      </c>
      <c r="G131" s="28">
        <f t="shared" si="29"/>
        <v>47726</v>
      </c>
      <c r="H131" s="29">
        <f t="shared" si="49"/>
      </c>
      <c r="I131" s="22">
        <f t="shared" si="46"/>
      </c>
      <c r="J131" s="30">
        <f t="shared" si="40"/>
        <v>47726</v>
      </c>
      <c r="K131" s="23">
        <f t="shared" si="47"/>
      </c>
      <c r="L131" s="29">
        <f t="shared" si="41"/>
        <v>47726</v>
      </c>
      <c r="M131" s="22">
        <f t="shared" si="42"/>
        <v>50000</v>
      </c>
      <c r="N131" s="23">
        <f t="shared" si="48"/>
      </c>
      <c r="O131" s="29">
        <f t="shared" si="31"/>
        <v>47726</v>
      </c>
      <c r="P131" s="22">
        <f t="shared" si="43"/>
        <v>50000</v>
      </c>
      <c r="Q131" s="23">
        <f t="shared" si="44"/>
      </c>
      <c r="R131" s="24">
        <f t="shared" si="45"/>
        <v>100000</v>
      </c>
      <c r="S131" s="211">
        <f t="shared" si="28"/>
        <v>2030</v>
      </c>
      <c r="T131" s="39"/>
      <c r="AB131" s="136">
        <f t="shared" si="36"/>
      </c>
      <c r="AC131" s="136">
        <f t="shared" si="37"/>
      </c>
      <c r="AD131" s="136">
        <f t="shared" si="38"/>
      </c>
    </row>
    <row r="132" spans="6:30" ht="16.5" customHeight="1">
      <c r="F132" s="210">
        <f t="shared" si="39"/>
        <v>127</v>
      </c>
      <c r="G132" s="28">
        <f t="shared" si="29"/>
        <v>47756</v>
      </c>
      <c r="H132" s="29">
        <f t="shared" si="49"/>
      </c>
      <c r="I132" s="22">
        <f t="shared" si="46"/>
      </c>
      <c r="J132" s="30">
        <f t="shared" si="40"/>
        <v>47756</v>
      </c>
      <c r="K132" s="23">
        <f t="shared" si="47"/>
      </c>
      <c r="L132" s="29">
        <f t="shared" si="41"/>
        <v>47756</v>
      </c>
      <c r="M132" s="22">
        <f t="shared" si="42"/>
        <v>50000</v>
      </c>
      <c r="N132" s="23">
        <f t="shared" si="48"/>
      </c>
      <c r="O132" s="29">
        <f t="shared" si="31"/>
        <v>47756</v>
      </c>
      <c r="P132" s="22">
        <f t="shared" si="43"/>
        <v>50000</v>
      </c>
      <c r="Q132" s="23" t="str">
        <f t="shared" si="44"/>
        <v>12歳誕生月</v>
      </c>
      <c r="R132" s="24">
        <f t="shared" si="45"/>
        <v>100000</v>
      </c>
      <c r="S132" s="211">
        <f t="shared" si="28"/>
        <v>2030</v>
      </c>
      <c r="T132" s="39"/>
      <c r="AB132" s="136">
        <f t="shared" si="36"/>
      </c>
      <c r="AC132" s="136">
        <f t="shared" si="37"/>
      </c>
      <c r="AD132" s="136" t="str">
        <f t="shared" si="38"/>
        <v>12歳誕生月</v>
      </c>
    </row>
    <row r="133" spans="6:30" ht="16.5" customHeight="1">
      <c r="F133" s="210">
        <f t="shared" si="39"/>
        <v>128</v>
      </c>
      <c r="G133" s="28">
        <f t="shared" si="29"/>
        <v>47787</v>
      </c>
      <c r="H133" s="29">
        <f t="shared" si="49"/>
      </c>
      <c r="I133" s="22">
        <f t="shared" si="46"/>
      </c>
      <c r="J133" s="30">
        <f t="shared" si="40"/>
        <v>47787</v>
      </c>
      <c r="K133" s="23">
        <f t="shared" si="47"/>
      </c>
      <c r="L133" s="29">
        <f t="shared" si="41"/>
        <v>47787</v>
      </c>
      <c r="M133" s="22">
        <f t="shared" si="42"/>
        <v>50000</v>
      </c>
      <c r="N133" s="23">
        <f t="shared" si="48"/>
      </c>
      <c r="O133" s="29">
        <f t="shared" si="31"/>
        <v>47787</v>
      </c>
      <c r="P133" s="22">
        <f t="shared" si="43"/>
        <v>50000</v>
      </c>
      <c r="Q133" s="23">
        <f t="shared" si="44"/>
      </c>
      <c r="R133" s="24">
        <f t="shared" si="45"/>
        <v>100000</v>
      </c>
      <c r="S133" s="211">
        <f t="shared" si="28"/>
        <v>2030</v>
      </c>
      <c r="T133" s="39"/>
      <c r="AB133" s="136">
        <f t="shared" si="36"/>
      </c>
      <c r="AC133" s="136">
        <f t="shared" si="37"/>
      </c>
      <c r="AD133" s="136">
        <f t="shared" si="38"/>
      </c>
    </row>
    <row r="134" spans="6:30" ht="16.5" customHeight="1">
      <c r="F134" s="210">
        <f t="shared" si="39"/>
        <v>129</v>
      </c>
      <c r="G134" s="28">
        <f t="shared" si="29"/>
        <v>47817</v>
      </c>
      <c r="H134" s="29">
        <f t="shared" si="49"/>
      </c>
      <c r="I134" s="22">
        <f t="shared" si="46"/>
      </c>
      <c r="J134" s="30">
        <f t="shared" si="40"/>
        <v>47817</v>
      </c>
      <c r="K134" s="23">
        <f t="shared" si="47"/>
      </c>
      <c r="L134" s="29">
        <f t="shared" si="41"/>
        <v>47817</v>
      </c>
      <c r="M134" s="22">
        <f t="shared" si="42"/>
        <v>50000</v>
      </c>
      <c r="N134" s="23">
        <f t="shared" si="48"/>
      </c>
      <c r="O134" s="29">
        <f t="shared" si="31"/>
        <v>47817</v>
      </c>
      <c r="P134" s="22">
        <f t="shared" si="43"/>
        <v>50000</v>
      </c>
      <c r="Q134" s="23">
        <f t="shared" si="44"/>
      </c>
      <c r="R134" s="24">
        <f t="shared" si="45"/>
        <v>100000</v>
      </c>
      <c r="S134" s="211">
        <f aca="true" t="shared" si="50" ref="S134:S197">IF(AND(H134="",L134=""),"",IF(ISERROR(YEAR(H134)),YEAR(L134),YEAR(H134)))</f>
        <v>2030</v>
      </c>
      <c r="T134" s="39"/>
      <c r="AB134" s="136">
        <f t="shared" si="36"/>
      </c>
      <c r="AC134" s="136">
        <f t="shared" si="37"/>
      </c>
      <c r="AD134" s="136">
        <f t="shared" si="38"/>
      </c>
    </row>
    <row r="135" spans="6:30" ht="16.5" customHeight="1">
      <c r="F135" s="210">
        <f t="shared" si="39"/>
        <v>130</v>
      </c>
      <c r="G135" s="28">
        <f aca="true" t="shared" si="51" ref="G135:G198">IF(OR(G134="",AND(G134&gt;D$11,J134&gt;D$27)),"",DATE(YEAR(G$6),MONTH(G$6)+F134+IF(OR(D$9="末",D$9=31),1,0),IF(OR(D$9="末",D$9=31),0,D$9)))</f>
        <v>47848</v>
      </c>
      <c r="H135" s="29">
        <f t="shared" si="49"/>
      </c>
      <c r="I135" s="22">
        <f t="shared" si="46"/>
      </c>
      <c r="J135" s="30">
        <f t="shared" si="40"/>
        <v>47848</v>
      </c>
      <c r="K135" s="23">
        <f t="shared" si="47"/>
      </c>
      <c r="L135" s="29">
        <f t="shared" si="41"/>
        <v>47848</v>
      </c>
      <c r="M135" s="22">
        <f t="shared" si="42"/>
        <v>50000</v>
      </c>
      <c r="N135" s="23">
        <f t="shared" si="48"/>
      </c>
      <c r="O135" s="29">
        <f aca="true" t="shared" si="52" ref="O135:O198">IF(O134="","",IF(DATE(YEAR(D$43),MONTH(D$43)+1,DAY(0))&lt;=DATE(YEAR(O134),MONTH(O134)+1,DAY(0)),"",IF($D$41="末",DATE(YEAR(O134),MONTH(O134)+2,DAY(0)),DATE(YEAR(O134),MONTH(O134)+1,DAY(O134)))))</f>
        <v>47848</v>
      </c>
      <c r="P135" s="22">
        <f t="shared" si="43"/>
        <v>50000</v>
      </c>
      <c r="Q135" s="23">
        <f t="shared" si="44"/>
      </c>
      <c r="R135" s="24">
        <f t="shared" si="45"/>
        <v>100000</v>
      </c>
      <c r="S135" s="211">
        <f t="shared" si="50"/>
        <v>2030</v>
      </c>
      <c r="T135" s="39"/>
      <c r="AB135" s="136">
        <f aca="true" t="shared" si="53" ref="AB135:AB198">IF(H135="","",IF(AND(MONTH(D$6)=MONTH(H135)),YEAR(H135)-YEAR(D$6)&amp;"歳誕生月",""))</f>
      </c>
      <c r="AC135" s="136">
        <f aca="true" t="shared" si="54" ref="AC135:AC198">IF(L135="","",IF(AND(MONTH(D$22)=MONTH(L135)),YEAR(L135)-YEAR(D$22)&amp;"歳誕生月",""))</f>
      </c>
      <c r="AD135" s="136">
        <f aca="true" t="shared" si="55" ref="AD135:AD198">IF(O135="","",IF(AND(MONTH(D$38)=MONTH(O135)),YEAR(O135)-YEAR(D$38)&amp;"歳誕生月",""))</f>
      </c>
    </row>
    <row r="136" spans="6:30" ht="16.5" customHeight="1">
      <c r="F136" s="210">
        <f aca="true" t="shared" si="56" ref="F136:F199">F135+1</f>
        <v>131</v>
      </c>
      <c r="G136" s="28">
        <f t="shared" si="51"/>
        <v>47879</v>
      </c>
      <c r="H136" s="29">
        <f t="shared" si="49"/>
      </c>
      <c r="I136" s="22">
        <f t="shared" si="46"/>
      </c>
      <c r="J136" s="30">
        <f aca="true" t="shared" si="57" ref="J136:J199">IF(OR(J135="",J135&gt;D$27),"",DATE(YEAR(J$6),MONTH(J$6)+F135+IF(OR(D$25="末",D$25=31),1,0),IF(OR(D$25="末",D$25=31),0,D$25)))</f>
        <v>47879</v>
      </c>
      <c r="K136" s="23">
        <f t="shared" si="47"/>
      </c>
      <c r="L136" s="29">
        <f aca="true" t="shared" si="58" ref="L136:L199">IF(L135="","",IF(AND(J136&gt;DATE(YEAR(D$27),MONTH(D$27)+1,0),J136&gt;D$11),"",IF(DAY(J136)&lt;&gt;D$25,DATE(YEAR(J136),MONTH(J136)+1,0),J136)))</f>
        <v>47879</v>
      </c>
      <c r="M136" s="22">
        <f aca="true" t="shared" si="59" ref="M136:M199">IF(L136="","",IF(AND(D$28&lt;&gt;0,L136&gt;D$28),D$29,M135))</f>
        <v>50000</v>
      </c>
      <c r="N136" s="23">
        <f t="shared" si="48"/>
      </c>
      <c r="O136" s="29">
        <f t="shared" si="52"/>
        <v>47879</v>
      </c>
      <c r="P136" s="22">
        <f aca="true" t="shared" si="60" ref="P136:P199">IF(O136="","",IF(AND(D$44&lt;&gt;0,O136&gt;D$44),D$45,P135))</f>
        <v>50000</v>
      </c>
      <c r="Q136" s="23">
        <f aca="true" t="shared" si="61" ref="Q136:Q199">IF(O136="","",AD136)</f>
      </c>
      <c r="R136" s="24">
        <f aca="true" t="shared" si="62" ref="R136:R199">IF(I136="",0,I136)+IF(M136="",0,M136)+IF(P136="",0,P136)</f>
        <v>100000</v>
      </c>
      <c r="S136" s="211">
        <f t="shared" si="50"/>
        <v>2031</v>
      </c>
      <c r="T136" s="39"/>
      <c r="AB136" s="136">
        <f t="shared" si="53"/>
      </c>
      <c r="AC136" s="136">
        <f t="shared" si="54"/>
      </c>
      <c r="AD136" s="136">
        <f t="shared" si="55"/>
      </c>
    </row>
    <row r="137" spans="6:30" ht="16.5" customHeight="1">
      <c r="F137" s="210">
        <f t="shared" si="56"/>
        <v>132</v>
      </c>
      <c r="G137" s="28">
        <f t="shared" si="51"/>
        <v>47907</v>
      </c>
      <c r="H137" s="29">
        <f t="shared" si="49"/>
      </c>
      <c r="I137" s="22">
        <f aca="true" t="shared" si="63" ref="I137:I200">IF(H137="","",IF(AND(D$12&lt;&gt;0,H137&gt;D$12),D$13,I136))</f>
      </c>
      <c r="J137" s="30">
        <f t="shared" si="57"/>
        <v>47907</v>
      </c>
      <c r="K137" s="23">
        <f aca="true" t="shared" si="64" ref="K137:K200">IF(H137="","",IF(AND(YEAR(H137)=YEAR(D$15),MONTH(H137)=MONTH(D$15)),B$15,IF(AND(YEAR(H137)=YEAR(D$16),MONTH(H137)=MONTH(D$16)),B$16,IF(AND(YEAR(H137)=YEAR(D$17),MONTH(H137)=MONTH(D$17)),B$17,IF(AND(YEAR(H137)=YEAR(D$19),MONTH(H137)=MONTH(D$19)),B$19,IF(AND(YEAR(H137)=YEAR(D$18),MONTH(H137)=MONTH(D$18)),B$18,AB137))))))</f>
      </c>
      <c r="L137" s="29">
        <f t="shared" si="58"/>
        <v>47907</v>
      </c>
      <c r="M137" s="22">
        <f t="shared" si="59"/>
        <v>50000</v>
      </c>
      <c r="N137" s="23">
        <f aca="true" t="shared" si="65" ref="N137:N200">IF(L137="","",IF(AND(YEAR(L137)=YEAR(D$31),MONTH(L137)=MONTH(D$31)),B$31,IF(AND(YEAR(L137)=YEAR(D$32),MONTH(L137)=MONTH(D$32)),B$32,IF(AND(YEAR(L137)=YEAR(D$33),MONTH(L137)=MONTH(D$33)),B$33,IF(AND(YEAR(L137)=YEAR(D$35),MONTH(L137)=MONTH(D$35)),B$35,IF(AND(YEAR(L137)=YEAR(D$34),MONTH(L137)=MONTH(D$34)),B$34,AC137))))))</f>
      </c>
      <c r="O137" s="29">
        <f t="shared" si="52"/>
        <v>47907</v>
      </c>
      <c r="P137" s="22">
        <f t="shared" si="60"/>
        <v>50000</v>
      </c>
      <c r="Q137" s="23">
        <f t="shared" si="61"/>
      </c>
      <c r="R137" s="24">
        <f t="shared" si="62"/>
        <v>100000</v>
      </c>
      <c r="S137" s="211">
        <f t="shared" si="50"/>
        <v>2031</v>
      </c>
      <c r="T137" s="39"/>
      <c r="AB137" s="136">
        <f t="shared" si="53"/>
      </c>
      <c r="AC137" s="136">
        <f t="shared" si="54"/>
      </c>
      <c r="AD137" s="136">
        <f t="shared" si="55"/>
      </c>
    </row>
    <row r="138" spans="6:30" ht="16.5" customHeight="1">
      <c r="F138" s="210">
        <f t="shared" si="56"/>
        <v>133</v>
      </c>
      <c r="G138" s="28">
        <f t="shared" si="51"/>
        <v>47938</v>
      </c>
      <c r="H138" s="29">
        <f t="shared" si="49"/>
      </c>
      <c r="I138" s="22">
        <f t="shared" si="63"/>
      </c>
      <c r="J138" s="30">
        <f t="shared" si="57"/>
        <v>47938</v>
      </c>
      <c r="K138" s="23">
        <f t="shared" si="64"/>
      </c>
      <c r="L138" s="29">
        <f t="shared" si="58"/>
        <v>47938</v>
      </c>
      <c r="M138" s="22">
        <f t="shared" si="59"/>
        <v>50000</v>
      </c>
      <c r="N138" s="23">
        <f t="shared" si="65"/>
      </c>
      <c r="O138" s="29">
        <f t="shared" si="52"/>
        <v>47938</v>
      </c>
      <c r="P138" s="22">
        <f t="shared" si="60"/>
        <v>50000</v>
      </c>
      <c r="Q138" s="23">
        <f t="shared" si="61"/>
      </c>
      <c r="R138" s="24">
        <f t="shared" si="62"/>
        <v>100000</v>
      </c>
      <c r="S138" s="211">
        <f t="shared" si="50"/>
        <v>2031</v>
      </c>
      <c r="T138" s="39"/>
      <c r="AB138" s="136">
        <f t="shared" si="53"/>
      </c>
      <c r="AC138" s="136">
        <f t="shared" si="54"/>
      </c>
      <c r="AD138" s="136">
        <f t="shared" si="55"/>
      </c>
    </row>
    <row r="139" spans="6:30" ht="16.5" customHeight="1">
      <c r="F139" s="210">
        <f t="shared" si="56"/>
        <v>134</v>
      </c>
      <c r="G139" s="28">
        <f t="shared" si="51"/>
        <v>47968</v>
      </c>
      <c r="H139" s="29">
        <f t="shared" si="49"/>
      </c>
      <c r="I139" s="22">
        <f t="shared" si="63"/>
      </c>
      <c r="J139" s="30">
        <f t="shared" si="57"/>
        <v>47968</v>
      </c>
      <c r="K139" s="23">
        <f t="shared" si="64"/>
      </c>
      <c r="L139" s="29">
        <f t="shared" si="58"/>
        <v>47968</v>
      </c>
      <c r="M139" s="22">
        <f t="shared" si="59"/>
        <v>50000</v>
      </c>
      <c r="N139" s="23">
        <f t="shared" si="65"/>
      </c>
      <c r="O139" s="29">
        <f t="shared" si="52"/>
        <v>47968</v>
      </c>
      <c r="P139" s="22">
        <f t="shared" si="60"/>
        <v>50000</v>
      </c>
      <c r="Q139" s="23">
        <f t="shared" si="61"/>
      </c>
      <c r="R139" s="24">
        <f t="shared" si="62"/>
        <v>100000</v>
      </c>
      <c r="S139" s="211">
        <f t="shared" si="50"/>
        <v>2031</v>
      </c>
      <c r="T139" s="39"/>
      <c r="AB139" s="136">
        <f t="shared" si="53"/>
      </c>
      <c r="AC139" s="136">
        <f t="shared" si="54"/>
      </c>
      <c r="AD139" s="136">
        <f t="shared" si="55"/>
      </c>
    </row>
    <row r="140" spans="6:30" ht="16.5" customHeight="1">
      <c r="F140" s="210">
        <f t="shared" si="56"/>
        <v>135</v>
      </c>
      <c r="G140" s="28">
        <f t="shared" si="51"/>
        <v>47999</v>
      </c>
      <c r="H140" s="29">
        <f t="shared" si="49"/>
      </c>
      <c r="I140" s="22">
        <f t="shared" si="63"/>
      </c>
      <c r="J140" s="30">
        <f t="shared" si="57"/>
        <v>47999</v>
      </c>
      <c r="K140" s="23">
        <f t="shared" si="64"/>
      </c>
      <c r="L140" s="29">
        <f t="shared" si="58"/>
        <v>47999</v>
      </c>
      <c r="M140" s="22">
        <f t="shared" si="59"/>
        <v>50000</v>
      </c>
      <c r="N140" s="23" t="str">
        <f t="shared" si="65"/>
        <v>18歳誕生月</v>
      </c>
      <c r="O140" s="29">
        <f t="shared" si="52"/>
        <v>47999</v>
      </c>
      <c r="P140" s="22">
        <f t="shared" si="60"/>
        <v>50000</v>
      </c>
      <c r="Q140" s="23">
        <f t="shared" si="61"/>
      </c>
      <c r="R140" s="24">
        <f t="shared" si="62"/>
        <v>100000</v>
      </c>
      <c r="S140" s="211">
        <f t="shared" si="50"/>
        <v>2031</v>
      </c>
      <c r="T140" s="39"/>
      <c r="AB140" s="136">
        <f t="shared" si="53"/>
      </c>
      <c r="AC140" s="136" t="str">
        <f t="shared" si="54"/>
        <v>18歳誕生月</v>
      </c>
      <c r="AD140" s="136">
        <f t="shared" si="55"/>
      </c>
    </row>
    <row r="141" spans="6:30" ht="16.5" customHeight="1">
      <c r="F141" s="210">
        <f t="shared" si="56"/>
        <v>136</v>
      </c>
      <c r="G141" s="28">
        <f t="shared" si="51"/>
        <v>48029</v>
      </c>
      <c r="H141" s="29">
        <f t="shared" si="49"/>
      </c>
      <c r="I141" s="22">
        <f t="shared" si="63"/>
      </c>
      <c r="J141" s="30">
        <f t="shared" si="57"/>
        <v>48029</v>
      </c>
      <c r="K141" s="23">
        <f t="shared" si="64"/>
      </c>
      <c r="L141" s="29">
        <f t="shared" si="58"/>
        <v>48029</v>
      </c>
      <c r="M141" s="22">
        <f t="shared" si="59"/>
        <v>50000</v>
      </c>
      <c r="N141" s="23">
        <f t="shared" si="65"/>
      </c>
      <c r="O141" s="29">
        <f t="shared" si="52"/>
        <v>48029</v>
      </c>
      <c r="P141" s="22">
        <f t="shared" si="60"/>
        <v>50000</v>
      </c>
      <c r="Q141" s="23">
        <f t="shared" si="61"/>
      </c>
      <c r="R141" s="24">
        <f t="shared" si="62"/>
        <v>100000</v>
      </c>
      <c r="S141" s="211">
        <f t="shared" si="50"/>
        <v>2031</v>
      </c>
      <c r="T141" s="39"/>
      <c r="AB141" s="136">
        <f t="shared" si="53"/>
      </c>
      <c r="AC141" s="136">
        <f t="shared" si="54"/>
      </c>
      <c r="AD141" s="136">
        <f t="shared" si="55"/>
      </c>
    </row>
    <row r="142" spans="6:30" ht="16.5" customHeight="1">
      <c r="F142" s="210">
        <f t="shared" si="56"/>
        <v>137</v>
      </c>
      <c r="G142" s="28">
        <f t="shared" si="51"/>
        <v>48060</v>
      </c>
      <c r="H142" s="29">
        <f t="shared" si="49"/>
      </c>
      <c r="I142" s="22">
        <f t="shared" si="63"/>
      </c>
      <c r="J142" s="30">
        <f t="shared" si="57"/>
        <v>48060</v>
      </c>
      <c r="K142" s="23">
        <f t="shared" si="64"/>
      </c>
      <c r="L142" s="29">
        <f t="shared" si="58"/>
        <v>48060</v>
      </c>
      <c r="M142" s="22">
        <f t="shared" si="59"/>
        <v>50000</v>
      </c>
      <c r="N142" s="23">
        <f t="shared" si="65"/>
      </c>
      <c r="O142" s="29">
        <f t="shared" si="52"/>
        <v>48060</v>
      </c>
      <c r="P142" s="22">
        <f t="shared" si="60"/>
        <v>50000</v>
      </c>
      <c r="Q142" s="23">
        <f t="shared" si="61"/>
      </c>
      <c r="R142" s="24">
        <f t="shared" si="62"/>
        <v>100000</v>
      </c>
      <c r="S142" s="211">
        <f t="shared" si="50"/>
        <v>2031</v>
      </c>
      <c r="T142" s="39"/>
      <c r="AB142" s="136">
        <f t="shared" si="53"/>
      </c>
      <c r="AC142" s="136">
        <f t="shared" si="54"/>
      </c>
      <c r="AD142" s="136">
        <f t="shared" si="55"/>
      </c>
    </row>
    <row r="143" spans="6:30" ht="16.5" customHeight="1">
      <c r="F143" s="210">
        <f t="shared" si="56"/>
        <v>138</v>
      </c>
      <c r="G143" s="28">
        <f t="shared" si="51"/>
        <v>48091</v>
      </c>
      <c r="H143" s="29">
        <f t="shared" si="49"/>
      </c>
      <c r="I143" s="22">
        <f t="shared" si="63"/>
      </c>
      <c r="J143" s="30">
        <f t="shared" si="57"/>
        <v>48091</v>
      </c>
      <c r="K143" s="23">
        <f t="shared" si="64"/>
      </c>
      <c r="L143" s="29">
        <f t="shared" si="58"/>
        <v>48091</v>
      </c>
      <c r="M143" s="22">
        <f t="shared" si="59"/>
        <v>50000</v>
      </c>
      <c r="N143" s="23">
        <f t="shared" si="65"/>
      </c>
      <c r="O143" s="29">
        <f t="shared" si="52"/>
        <v>48091</v>
      </c>
      <c r="P143" s="22">
        <f t="shared" si="60"/>
        <v>50000</v>
      </c>
      <c r="Q143" s="23">
        <f t="shared" si="61"/>
      </c>
      <c r="R143" s="24">
        <f t="shared" si="62"/>
        <v>100000</v>
      </c>
      <c r="S143" s="211">
        <f t="shared" si="50"/>
        <v>2031</v>
      </c>
      <c r="T143" s="39"/>
      <c r="AB143" s="136">
        <f t="shared" si="53"/>
      </c>
      <c r="AC143" s="136">
        <f t="shared" si="54"/>
      </c>
      <c r="AD143" s="136">
        <f t="shared" si="55"/>
      </c>
    </row>
    <row r="144" spans="6:30" ht="16.5" customHeight="1">
      <c r="F144" s="210">
        <f t="shared" si="56"/>
        <v>139</v>
      </c>
      <c r="G144" s="28">
        <f t="shared" si="51"/>
        <v>48121</v>
      </c>
      <c r="H144" s="29">
        <f t="shared" si="49"/>
      </c>
      <c r="I144" s="22">
        <f t="shared" si="63"/>
      </c>
      <c r="J144" s="30">
        <f t="shared" si="57"/>
        <v>48121</v>
      </c>
      <c r="K144" s="23">
        <f t="shared" si="64"/>
      </c>
      <c r="L144" s="29">
        <f t="shared" si="58"/>
        <v>48121</v>
      </c>
      <c r="M144" s="22">
        <f t="shared" si="59"/>
        <v>50000</v>
      </c>
      <c r="N144" s="23">
        <f t="shared" si="65"/>
      </c>
      <c r="O144" s="29">
        <f t="shared" si="52"/>
        <v>48121</v>
      </c>
      <c r="P144" s="22">
        <f t="shared" si="60"/>
        <v>50000</v>
      </c>
      <c r="Q144" s="23" t="str">
        <f t="shared" si="61"/>
        <v>13歳誕生月</v>
      </c>
      <c r="R144" s="24">
        <f t="shared" si="62"/>
        <v>100000</v>
      </c>
      <c r="S144" s="211">
        <f t="shared" si="50"/>
        <v>2031</v>
      </c>
      <c r="T144" s="39"/>
      <c r="AB144" s="136">
        <f t="shared" si="53"/>
      </c>
      <c r="AC144" s="136">
        <f t="shared" si="54"/>
      </c>
      <c r="AD144" s="136" t="str">
        <f t="shared" si="55"/>
        <v>13歳誕生月</v>
      </c>
    </row>
    <row r="145" spans="6:30" ht="16.5" customHeight="1">
      <c r="F145" s="210">
        <f t="shared" si="56"/>
        <v>140</v>
      </c>
      <c r="G145" s="28">
        <f t="shared" si="51"/>
        <v>48152</v>
      </c>
      <c r="H145" s="29">
        <f t="shared" si="49"/>
      </c>
      <c r="I145" s="22">
        <f t="shared" si="63"/>
      </c>
      <c r="J145" s="30">
        <f t="shared" si="57"/>
        <v>48152</v>
      </c>
      <c r="K145" s="23">
        <f t="shared" si="64"/>
      </c>
      <c r="L145" s="29">
        <f t="shared" si="58"/>
        <v>48152</v>
      </c>
      <c r="M145" s="22">
        <f t="shared" si="59"/>
        <v>50000</v>
      </c>
      <c r="N145" s="23">
        <f t="shared" si="65"/>
      </c>
      <c r="O145" s="29">
        <f t="shared" si="52"/>
        <v>48152</v>
      </c>
      <c r="P145" s="22">
        <f t="shared" si="60"/>
        <v>50000</v>
      </c>
      <c r="Q145" s="23">
        <f t="shared" si="61"/>
      </c>
      <c r="R145" s="24">
        <f t="shared" si="62"/>
        <v>100000</v>
      </c>
      <c r="S145" s="211">
        <f t="shared" si="50"/>
        <v>2031</v>
      </c>
      <c r="T145" s="39"/>
      <c r="AB145" s="136">
        <f t="shared" si="53"/>
      </c>
      <c r="AC145" s="136">
        <f t="shared" si="54"/>
      </c>
      <c r="AD145" s="136">
        <f t="shared" si="55"/>
      </c>
    </row>
    <row r="146" spans="6:30" ht="16.5" customHeight="1">
      <c r="F146" s="210">
        <f t="shared" si="56"/>
        <v>141</v>
      </c>
      <c r="G146" s="28">
        <f t="shared" si="51"/>
        <v>48182</v>
      </c>
      <c r="H146" s="29">
        <f t="shared" si="49"/>
      </c>
      <c r="I146" s="22">
        <f t="shared" si="63"/>
      </c>
      <c r="J146" s="30">
        <f t="shared" si="57"/>
        <v>48182</v>
      </c>
      <c r="K146" s="23">
        <f t="shared" si="64"/>
      </c>
      <c r="L146" s="29">
        <f t="shared" si="58"/>
        <v>48182</v>
      </c>
      <c r="M146" s="22">
        <f t="shared" si="59"/>
        <v>50000</v>
      </c>
      <c r="N146" s="23">
        <f t="shared" si="65"/>
      </c>
      <c r="O146" s="29">
        <f t="shared" si="52"/>
        <v>48182</v>
      </c>
      <c r="P146" s="22">
        <f t="shared" si="60"/>
        <v>50000</v>
      </c>
      <c r="Q146" s="23">
        <f t="shared" si="61"/>
      </c>
      <c r="R146" s="24">
        <f t="shared" si="62"/>
        <v>100000</v>
      </c>
      <c r="S146" s="211">
        <f t="shared" si="50"/>
        <v>2031</v>
      </c>
      <c r="T146" s="39"/>
      <c r="AB146" s="136">
        <f t="shared" si="53"/>
      </c>
      <c r="AC146" s="136">
        <f t="shared" si="54"/>
      </c>
      <c r="AD146" s="136">
        <f t="shared" si="55"/>
      </c>
    </row>
    <row r="147" spans="6:30" ht="16.5" customHeight="1">
      <c r="F147" s="210">
        <f t="shared" si="56"/>
        <v>142</v>
      </c>
      <c r="G147" s="28">
        <f t="shared" si="51"/>
        <v>48213</v>
      </c>
      <c r="H147" s="29">
        <f t="shared" si="49"/>
      </c>
      <c r="I147" s="22">
        <f t="shared" si="63"/>
      </c>
      <c r="J147" s="30">
        <f t="shared" si="57"/>
        <v>48213</v>
      </c>
      <c r="K147" s="23">
        <f t="shared" si="64"/>
      </c>
      <c r="L147" s="29">
        <f t="shared" si="58"/>
        <v>48213</v>
      </c>
      <c r="M147" s="22">
        <f t="shared" si="59"/>
        <v>50000</v>
      </c>
      <c r="N147" s="23">
        <f t="shared" si="65"/>
      </c>
      <c r="O147" s="29">
        <f t="shared" si="52"/>
        <v>48213</v>
      </c>
      <c r="P147" s="22">
        <f t="shared" si="60"/>
        <v>50000</v>
      </c>
      <c r="Q147" s="23">
        <f t="shared" si="61"/>
      </c>
      <c r="R147" s="24">
        <f t="shared" si="62"/>
        <v>100000</v>
      </c>
      <c r="S147" s="211">
        <f t="shared" si="50"/>
        <v>2031</v>
      </c>
      <c r="T147" s="39"/>
      <c r="AB147" s="136">
        <f t="shared" si="53"/>
      </c>
      <c r="AC147" s="136">
        <f t="shared" si="54"/>
      </c>
      <c r="AD147" s="136">
        <f t="shared" si="55"/>
      </c>
    </row>
    <row r="148" spans="6:30" ht="16.5" customHeight="1">
      <c r="F148" s="210">
        <f t="shared" si="56"/>
        <v>143</v>
      </c>
      <c r="G148" s="28">
        <f t="shared" si="51"/>
        <v>48244</v>
      </c>
      <c r="H148" s="29">
        <f t="shared" si="49"/>
      </c>
      <c r="I148" s="22">
        <f t="shared" si="63"/>
      </c>
      <c r="J148" s="30">
        <f t="shared" si="57"/>
        <v>48244</v>
      </c>
      <c r="K148" s="23">
        <f t="shared" si="64"/>
      </c>
      <c r="L148" s="29">
        <f t="shared" si="58"/>
        <v>48244</v>
      </c>
      <c r="M148" s="22">
        <f t="shared" si="59"/>
        <v>50000</v>
      </c>
      <c r="N148" s="23">
        <f t="shared" si="65"/>
      </c>
      <c r="O148" s="29">
        <f t="shared" si="52"/>
        <v>48244</v>
      </c>
      <c r="P148" s="22">
        <f t="shared" si="60"/>
        <v>50000</v>
      </c>
      <c r="Q148" s="23">
        <f t="shared" si="61"/>
      </c>
      <c r="R148" s="24">
        <f t="shared" si="62"/>
        <v>100000</v>
      </c>
      <c r="S148" s="211">
        <f t="shared" si="50"/>
        <v>2032</v>
      </c>
      <c r="T148" s="39"/>
      <c r="AB148" s="136">
        <f t="shared" si="53"/>
      </c>
      <c r="AC148" s="136">
        <f t="shared" si="54"/>
      </c>
      <c r="AD148" s="136">
        <f t="shared" si="55"/>
      </c>
    </row>
    <row r="149" spans="6:30" ht="16.5" customHeight="1">
      <c r="F149" s="210">
        <f t="shared" si="56"/>
        <v>144</v>
      </c>
      <c r="G149" s="28">
        <f t="shared" si="51"/>
        <v>48273</v>
      </c>
      <c r="H149" s="29">
        <f t="shared" si="49"/>
      </c>
      <c r="I149" s="22">
        <f t="shared" si="63"/>
      </c>
      <c r="J149" s="30">
        <f t="shared" si="57"/>
        <v>48273</v>
      </c>
      <c r="K149" s="23">
        <f t="shared" si="64"/>
      </c>
      <c r="L149" s="29">
        <f t="shared" si="58"/>
        <v>48273</v>
      </c>
      <c r="M149" s="22">
        <f t="shared" si="59"/>
        <v>50000</v>
      </c>
      <c r="N149" s="23">
        <f t="shared" si="65"/>
      </c>
      <c r="O149" s="29">
        <f t="shared" si="52"/>
        <v>48273</v>
      </c>
      <c r="P149" s="22">
        <f t="shared" si="60"/>
        <v>50000</v>
      </c>
      <c r="Q149" s="23">
        <f t="shared" si="61"/>
      </c>
      <c r="R149" s="24">
        <f t="shared" si="62"/>
        <v>100000</v>
      </c>
      <c r="S149" s="211">
        <f t="shared" si="50"/>
        <v>2032</v>
      </c>
      <c r="T149" s="39"/>
      <c r="AB149" s="136">
        <f t="shared" si="53"/>
      </c>
      <c r="AC149" s="136">
        <f t="shared" si="54"/>
      </c>
      <c r="AD149" s="136">
        <f t="shared" si="55"/>
      </c>
    </row>
    <row r="150" spans="6:30" ht="16.5" customHeight="1">
      <c r="F150" s="210">
        <f t="shared" si="56"/>
        <v>145</v>
      </c>
      <c r="G150" s="28">
        <f t="shared" si="51"/>
        <v>48304</v>
      </c>
      <c r="H150" s="29">
        <f t="shared" si="49"/>
      </c>
      <c r="I150" s="22">
        <f t="shared" si="63"/>
      </c>
      <c r="J150" s="30">
        <f t="shared" si="57"/>
        <v>48304</v>
      </c>
      <c r="K150" s="23">
        <f t="shared" si="64"/>
      </c>
      <c r="L150" s="29">
        <f t="shared" si="58"/>
        <v>48304</v>
      </c>
      <c r="M150" s="22">
        <f t="shared" si="59"/>
        <v>50000</v>
      </c>
      <c r="N150" s="23" t="str">
        <f t="shared" si="65"/>
        <v>２人目高校卒業</v>
      </c>
      <c r="O150" s="29">
        <f t="shared" si="52"/>
        <v>48304</v>
      </c>
      <c r="P150" s="22">
        <f t="shared" si="60"/>
        <v>50000</v>
      </c>
      <c r="Q150" s="23">
        <f t="shared" si="61"/>
      </c>
      <c r="R150" s="24">
        <f t="shared" si="62"/>
        <v>100000</v>
      </c>
      <c r="S150" s="211">
        <f t="shared" si="50"/>
        <v>2032</v>
      </c>
      <c r="T150" s="39"/>
      <c r="AB150" s="136">
        <f t="shared" si="53"/>
      </c>
      <c r="AC150" s="136">
        <f t="shared" si="54"/>
      </c>
      <c r="AD150" s="136">
        <f t="shared" si="55"/>
      </c>
    </row>
    <row r="151" spans="6:30" ht="16.5" customHeight="1">
      <c r="F151" s="210">
        <f t="shared" si="56"/>
        <v>146</v>
      </c>
      <c r="G151" s="28">
        <f t="shared" si="51"/>
        <v>48334</v>
      </c>
      <c r="H151" s="29">
        <f t="shared" si="49"/>
      </c>
      <c r="I151" s="22">
        <f t="shared" si="63"/>
      </c>
      <c r="J151" s="30">
        <f t="shared" si="57"/>
        <v>48334</v>
      </c>
      <c r="K151" s="23">
        <f t="shared" si="64"/>
      </c>
      <c r="L151" s="29">
        <f t="shared" si="58"/>
        <v>48334</v>
      </c>
      <c r="M151" s="22">
        <f t="shared" si="59"/>
        <v>50000</v>
      </c>
      <c r="N151" s="23">
        <f t="shared" si="65"/>
      </c>
      <c r="O151" s="29">
        <f t="shared" si="52"/>
        <v>48334</v>
      </c>
      <c r="P151" s="22">
        <f t="shared" si="60"/>
        <v>50000</v>
      </c>
      <c r="Q151" s="23">
        <f t="shared" si="61"/>
      </c>
      <c r="R151" s="24">
        <f t="shared" si="62"/>
        <v>100000</v>
      </c>
      <c r="S151" s="211">
        <f t="shared" si="50"/>
        <v>2032</v>
      </c>
      <c r="T151" s="39"/>
      <c r="AB151" s="136">
        <f t="shared" si="53"/>
      </c>
      <c r="AC151" s="136">
        <f t="shared" si="54"/>
      </c>
      <c r="AD151" s="136">
        <f t="shared" si="55"/>
      </c>
    </row>
    <row r="152" spans="6:30" ht="16.5" customHeight="1">
      <c r="F152" s="210">
        <f t="shared" si="56"/>
        <v>147</v>
      </c>
      <c r="G152" s="28">
        <f t="shared" si="51"/>
        <v>48365</v>
      </c>
      <c r="H152" s="29">
        <f t="shared" si="49"/>
      </c>
      <c r="I152" s="22">
        <f t="shared" si="63"/>
      </c>
      <c r="J152" s="30">
        <f t="shared" si="57"/>
        <v>48365</v>
      </c>
      <c r="K152" s="23">
        <f t="shared" si="64"/>
      </c>
      <c r="L152" s="29">
        <f t="shared" si="58"/>
        <v>48365</v>
      </c>
      <c r="M152" s="22">
        <f t="shared" si="59"/>
        <v>50000</v>
      </c>
      <c r="N152" s="23" t="str">
        <f t="shared" si="65"/>
        <v>19歳誕生月</v>
      </c>
      <c r="O152" s="29">
        <f t="shared" si="52"/>
        <v>48365</v>
      </c>
      <c r="P152" s="22">
        <f t="shared" si="60"/>
        <v>50000</v>
      </c>
      <c r="Q152" s="23">
        <f t="shared" si="61"/>
      </c>
      <c r="R152" s="24">
        <f t="shared" si="62"/>
        <v>100000</v>
      </c>
      <c r="S152" s="211">
        <f t="shared" si="50"/>
        <v>2032</v>
      </c>
      <c r="T152" s="39"/>
      <c r="AB152" s="136">
        <f t="shared" si="53"/>
      </c>
      <c r="AC152" s="136" t="str">
        <f t="shared" si="54"/>
        <v>19歳誕生月</v>
      </c>
      <c r="AD152" s="136">
        <f t="shared" si="55"/>
      </c>
    </row>
    <row r="153" spans="6:30" ht="16.5" customHeight="1">
      <c r="F153" s="210">
        <f t="shared" si="56"/>
        <v>148</v>
      </c>
      <c r="G153" s="28">
        <f t="shared" si="51"/>
        <v>48395</v>
      </c>
      <c r="H153" s="29">
        <f t="shared" si="49"/>
      </c>
      <c r="I153" s="22">
        <f t="shared" si="63"/>
      </c>
      <c r="J153" s="30">
        <f t="shared" si="57"/>
        <v>48395</v>
      </c>
      <c r="K153" s="23">
        <f t="shared" si="64"/>
      </c>
      <c r="L153" s="29">
        <f t="shared" si="58"/>
        <v>48395</v>
      </c>
      <c r="M153" s="22">
        <f t="shared" si="59"/>
        <v>50000</v>
      </c>
      <c r="N153" s="23">
        <f t="shared" si="65"/>
      </c>
      <c r="O153" s="29">
        <f t="shared" si="52"/>
        <v>48395</v>
      </c>
      <c r="P153" s="22">
        <f t="shared" si="60"/>
        <v>50000</v>
      </c>
      <c r="Q153" s="23">
        <f t="shared" si="61"/>
      </c>
      <c r="R153" s="24">
        <f t="shared" si="62"/>
        <v>100000</v>
      </c>
      <c r="S153" s="211">
        <f t="shared" si="50"/>
        <v>2032</v>
      </c>
      <c r="T153" s="39"/>
      <c r="AB153" s="136">
        <f t="shared" si="53"/>
      </c>
      <c r="AC153" s="136">
        <f t="shared" si="54"/>
      </c>
      <c r="AD153" s="136">
        <f t="shared" si="55"/>
      </c>
    </row>
    <row r="154" spans="6:30" ht="16.5" customHeight="1">
      <c r="F154" s="210">
        <f t="shared" si="56"/>
        <v>149</v>
      </c>
      <c r="G154" s="28">
        <f t="shared" si="51"/>
        <v>48426</v>
      </c>
      <c r="H154" s="29">
        <f t="shared" si="49"/>
      </c>
      <c r="I154" s="22">
        <f t="shared" si="63"/>
      </c>
      <c r="J154" s="30">
        <f t="shared" si="57"/>
        <v>48426</v>
      </c>
      <c r="K154" s="23">
        <f t="shared" si="64"/>
      </c>
      <c r="L154" s="29">
        <f t="shared" si="58"/>
        <v>48426</v>
      </c>
      <c r="M154" s="22">
        <f t="shared" si="59"/>
        <v>50000</v>
      </c>
      <c r="N154" s="23">
        <f t="shared" si="65"/>
      </c>
      <c r="O154" s="29">
        <f t="shared" si="52"/>
        <v>48426</v>
      </c>
      <c r="P154" s="22">
        <f t="shared" si="60"/>
        <v>50000</v>
      </c>
      <c r="Q154" s="23">
        <f t="shared" si="61"/>
      </c>
      <c r="R154" s="24">
        <f t="shared" si="62"/>
        <v>100000</v>
      </c>
      <c r="S154" s="211">
        <f t="shared" si="50"/>
        <v>2032</v>
      </c>
      <c r="T154" s="39"/>
      <c r="AB154" s="136">
        <f t="shared" si="53"/>
      </c>
      <c r="AC154" s="136">
        <f t="shared" si="54"/>
      </c>
      <c r="AD154" s="136">
        <f t="shared" si="55"/>
      </c>
    </row>
    <row r="155" spans="6:30" ht="16.5" customHeight="1">
      <c r="F155" s="210">
        <f t="shared" si="56"/>
        <v>150</v>
      </c>
      <c r="G155" s="28">
        <f t="shared" si="51"/>
        <v>48457</v>
      </c>
      <c r="H155" s="29">
        <f t="shared" si="49"/>
      </c>
      <c r="I155" s="22">
        <f t="shared" si="63"/>
      </c>
      <c r="J155" s="30">
        <f t="shared" si="57"/>
        <v>48457</v>
      </c>
      <c r="K155" s="23">
        <f t="shared" si="64"/>
      </c>
      <c r="L155" s="29">
        <f t="shared" si="58"/>
        <v>48457</v>
      </c>
      <c r="M155" s="22">
        <f t="shared" si="59"/>
        <v>50000</v>
      </c>
      <c r="N155" s="23">
        <f t="shared" si="65"/>
      </c>
      <c r="O155" s="29">
        <f t="shared" si="52"/>
        <v>48457</v>
      </c>
      <c r="P155" s="22">
        <f t="shared" si="60"/>
        <v>50000</v>
      </c>
      <c r="Q155" s="23">
        <f t="shared" si="61"/>
      </c>
      <c r="R155" s="24">
        <f t="shared" si="62"/>
        <v>100000</v>
      </c>
      <c r="S155" s="211">
        <f t="shared" si="50"/>
        <v>2032</v>
      </c>
      <c r="T155" s="39"/>
      <c r="AB155" s="136">
        <f t="shared" si="53"/>
      </c>
      <c r="AC155" s="136">
        <f t="shared" si="54"/>
      </c>
      <c r="AD155" s="136">
        <f t="shared" si="55"/>
      </c>
    </row>
    <row r="156" spans="6:30" ht="16.5" customHeight="1">
      <c r="F156" s="210">
        <f t="shared" si="56"/>
        <v>151</v>
      </c>
      <c r="G156" s="28">
        <f t="shared" si="51"/>
        <v>48487</v>
      </c>
      <c r="H156" s="29">
        <f t="shared" si="49"/>
      </c>
      <c r="I156" s="22">
        <f t="shared" si="63"/>
      </c>
      <c r="J156" s="30">
        <f t="shared" si="57"/>
        <v>48487</v>
      </c>
      <c r="K156" s="23">
        <f t="shared" si="64"/>
      </c>
      <c r="L156" s="29">
        <f t="shared" si="58"/>
        <v>48487</v>
      </c>
      <c r="M156" s="22">
        <f t="shared" si="59"/>
        <v>50000</v>
      </c>
      <c r="N156" s="23">
        <f t="shared" si="65"/>
      </c>
      <c r="O156" s="29">
        <f t="shared" si="52"/>
        <v>48487</v>
      </c>
      <c r="P156" s="22">
        <f t="shared" si="60"/>
        <v>50000</v>
      </c>
      <c r="Q156" s="23" t="str">
        <f t="shared" si="61"/>
        <v>14歳誕生月</v>
      </c>
      <c r="R156" s="24">
        <f t="shared" si="62"/>
        <v>100000</v>
      </c>
      <c r="S156" s="211">
        <f t="shared" si="50"/>
        <v>2032</v>
      </c>
      <c r="T156" s="39"/>
      <c r="AB156" s="136">
        <f t="shared" si="53"/>
      </c>
      <c r="AC156" s="136">
        <f t="shared" si="54"/>
      </c>
      <c r="AD156" s="136" t="str">
        <f t="shared" si="55"/>
        <v>14歳誕生月</v>
      </c>
    </row>
    <row r="157" spans="6:30" ht="16.5" customHeight="1">
      <c r="F157" s="210">
        <f t="shared" si="56"/>
        <v>152</v>
      </c>
      <c r="G157" s="28">
        <f t="shared" si="51"/>
        <v>48518</v>
      </c>
      <c r="H157" s="29">
        <f t="shared" si="49"/>
      </c>
      <c r="I157" s="22">
        <f t="shared" si="63"/>
      </c>
      <c r="J157" s="30">
        <f t="shared" si="57"/>
        <v>48518</v>
      </c>
      <c r="K157" s="23">
        <f t="shared" si="64"/>
      </c>
      <c r="L157" s="29">
        <f t="shared" si="58"/>
        <v>48518</v>
      </c>
      <c r="M157" s="22">
        <f t="shared" si="59"/>
        <v>50000</v>
      </c>
      <c r="N157" s="23">
        <f t="shared" si="65"/>
      </c>
      <c r="O157" s="29">
        <f t="shared" si="52"/>
        <v>48518</v>
      </c>
      <c r="P157" s="22">
        <f t="shared" si="60"/>
        <v>50000</v>
      </c>
      <c r="Q157" s="23">
        <f t="shared" si="61"/>
      </c>
      <c r="R157" s="24">
        <f t="shared" si="62"/>
        <v>100000</v>
      </c>
      <c r="S157" s="211">
        <f t="shared" si="50"/>
        <v>2032</v>
      </c>
      <c r="T157" s="39"/>
      <c r="AB157" s="136">
        <f t="shared" si="53"/>
      </c>
      <c r="AC157" s="136">
        <f t="shared" si="54"/>
      </c>
      <c r="AD157" s="136">
        <f t="shared" si="55"/>
      </c>
    </row>
    <row r="158" spans="6:30" ht="16.5" customHeight="1">
      <c r="F158" s="210">
        <f t="shared" si="56"/>
        <v>153</v>
      </c>
      <c r="G158" s="28">
        <f t="shared" si="51"/>
        <v>48548</v>
      </c>
      <c r="H158" s="29">
        <f t="shared" si="49"/>
      </c>
      <c r="I158" s="22">
        <f t="shared" si="63"/>
      </c>
      <c r="J158" s="30">
        <f t="shared" si="57"/>
        <v>48548</v>
      </c>
      <c r="K158" s="23">
        <f t="shared" si="64"/>
      </c>
      <c r="L158" s="29">
        <f t="shared" si="58"/>
        <v>48548</v>
      </c>
      <c r="M158" s="22">
        <f t="shared" si="59"/>
        <v>50000</v>
      </c>
      <c r="N158" s="23">
        <f t="shared" si="65"/>
      </c>
      <c r="O158" s="29">
        <f t="shared" si="52"/>
        <v>48548</v>
      </c>
      <c r="P158" s="22">
        <f t="shared" si="60"/>
        <v>50000</v>
      </c>
      <c r="Q158" s="23">
        <f t="shared" si="61"/>
      </c>
      <c r="R158" s="24">
        <f t="shared" si="62"/>
        <v>100000</v>
      </c>
      <c r="S158" s="211">
        <f t="shared" si="50"/>
        <v>2032</v>
      </c>
      <c r="T158" s="39"/>
      <c r="AB158" s="136">
        <f t="shared" si="53"/>
      </c>
      <c r="AC158" s="136">
        <f t="shared" si="54"/>
      </c>
      <c r="AD158" s="136">
        <f t="shared" si="55"/>
      </c>
    </row>
    <row r="159" spans="6:30" ht="16.5" customHeight="1">
      <c r="F159" s="210">
        <f t="shared" si="56"/>
        <v>154</v>
      </c>
      <c r="G159" s="28">
        <f t="shared" si="51"/>
        <v>48579</v>
      </c>
      <c r="H159" s="29">
        <f t="shared" si="49"/>
      </c>
      <c r="I159" s="22">
        <f t="shared" si="63"/>
      </c>
      <c r="J159" s="30">
        <f t="shared" si="57"/>
        <v>48579</v>
      </c>
      <c r="K159" s="23">
        <f t="shared" si="64"/>
      </c>
      <c r="L159" s="29">
        <f t="shared" si="58"/>
        <v>48579</v>
      </c>
      <c r="M159" s="22">
        <f t="shared" si="59"/>
        <v>50000</v>
      </c>
      <c r="N159" s="23">
        <f t="shared" si="65"/>
      </c>
      <c r="O159" s="29">
        <f t="shared" si="52"/>
        <v>48579</v>
      </c>
      <c r="P159" s="22">
        <f t="shared" si="60"/>
        <v>50000</v>
      </c>
      <c r="Q159" s="23">
        <f t="shared" si="61"/>
      </c>
      <c r="R159" s="24">
        <f t="shared" si="62"/>
        <v>100000</v>
      </c>
      <c r="S159" s="211">
        <f t="shared" si="50"/>
        <v>2032</v>
      </c>
      <c r="T159" s="39"/>
      <c r="AB159" s="136">
        <f t="shared" si="53"/>
      </c>
      <c r="AC159" s="136">
        <f t="shared" si="54"/>
      </c>
      <c r="AD159" s="136">
        <f t="shared" si="55"/>
      </c>
    </row>
    <row r="160" spans="6:30" ht="16.5" customHeight="1">
      <c r="F160" s="210">
        <f t="shared" si="56"/>
        <v>155</v>
      </c>
      <c r="G160" s="28">
        <f t="shared" si="51"/>
        <v>48610</v>
      </c>
      <c r="H160" s="29">
        <f t="shared" si="49"/>
      </c>
      <c r="I160" s="22">
        <f t="shared" si="63"/>
      </c>
      <c r="J160" s="30">
        <f t="shared" si="57"/>
        <v>48610</v>
      </c>
      <c r="K160" s="23">
        <f t="shared" si="64"/>
      </c>
      <c r="L160" s="29">
        <f t="shared" si="58"/>
        <v>48610</v>
      </c>
      <c r="M160" s="22">
        <f t="shared" si="59"/>
        <v>50000</v>
      </c>
      <c r="N160" s="23">
        <f t="shared" si="65"/>
      </c>
      <c r="O160" s="29">
        <f t="shared" si="52"/>
        <v>48610</v>
      </c>
      <c r="P160" s="22">
        <f t="shared" si="60"/>
        <v>50000</v>
      </c>
      <c r="Q160" s="23">
        <f t="shared" si="61"/>
      </c>
      <c r="R160" s="24">
        <f t="shared" si="62"/>
        <v>100000</v>
      </c>
      <c r="S160" s="211">
        <f t="shared" si="50"/>
        <v>2033</v>
      </c>
      <c r="T160" s="39"/>
      <c r="AB160" s="136">
        <f t="shared" si="53"/>
      </c>
      <c r="AC160" s="136">
        <f t="shared" si="54"/>
      </c>
      <c r="AD160" s="136">
        <f t="shared" si="55"/>
      </c>
    </row>
    <row r="161" spans="6:30" ht="16.5" customHeight="1">
      <c r="F161" s="210">
        <f t="shared" si="56"/>
        <v>156</v>
      </c>
      <c r="G161" s="28">
        <f t="shared" si="51"/>
        <v>48638</v>
      </c>
      <c r="H161" s="29">
        <f t="shared" si="49"/>
      </c>
      <c r="I161" s="22">
        <f t="shared" si="63"/>
      </c>
      <c r="J161" s="30">
        <f t="shared" si="57"/>
        <v>48638</v>
      </c>
      <c r="K161" s="23">
        <f t="shared" si="64"/>
      </c>
      <c r="L161" s="29">
        <f t="shared" si="58"/>
        <v>48638</v>
      </c>
      <c r="M161" s="22">
        <f t="shared" si="59"/>
        <v>50000</v>
      </c>
      <c r="N161" s="23">
        <f t="shared" si="65"/>
      </c>
      <c r="O161" s="29">
        <f t="shared" si="52"/>
        <v>48638</v>
      </c>
      <c r="P161" s="22">
        <f t="shared" si="60"/>
        <v>50000</v>
      </c>
      <c r="Q161" s="23">
        <f t="shared" si="61"/>
      </c>
      <c r="R161" s="24">
        <f t="shared" si="62"/>
        <v>100000</v>
      </c>
      <c r="S161" s="211">
        <f t="shared" si="50"/>
        <v>2033</v>
      </c>
      <c r="T161" s="39"/>
      <c r="AB161" s="136">
        <f t="shared" si="53"/>
      </c>
      <c r="AC161" s="136">
        <f t="shared" si="54"/>
      </c>
      <c r="AD161" s="136">
        <f t="shared" si="55"/>
      </c>
    </row>
    <row r="162" spans="6:30" ht="16.5" customHeight="1">
      <c r="F162" s="210">
        <f t="shared" si="56"/>
        <v>157</v>
      </c>
      <c r="G162" s="28">
        <f t="shared" si="51"/>
        <v>48669</v>
      </c>
      <c r="H162" s="29">
        <f t="shared" si="49"/>
      </c>
      <c r="I162" s="22">
        <f t="shared" si="63"/>
      </c>
      <c r="J162" s="30">
        <f t="shared" si="57"/>
        <v>48669</v>
      </c>
      <c r="K162" s="23">
        <f t="shared" si="64"/>
      </c>
      <c r="L162" s="29">
        <f t="shared" si="58"/>
        <v>48669</v>
      </c>
      <c r="M162" s="22">
        <f t="shared" si="59"/>
        <v>50000</v>
      </c>
      <c r="N162" s="23">
        <f t="shared" si="65"/>
      </c>
      <c r="O162" s="29">
        <f t="shared" si="52"/>
        <v>48669</v>
      </c>
      <c r="P162" s="22">
        <f t="shared" si="60"/>
        <v>50000</v>
      </c>
      <c r="Q162" s="23">
        <f t="shared" si="61"/>
      </c>
      <c r="R162" s="24">
        <f t="shared" si="62"/>
        <v>100000</v>
      </c>
      <c r="S162" s="211">
        <f t="shared" si="50"/>
        <v>2033</v>
      </c>
      <c r="T162" s="39"/>
      <c r="AB162" s="136">
        <f t="shared" si="53"/>
      </c>
      <c r="AC162" s="136">
        <f t="shared" si="54"/>
      </c>
      <c r="AD162" s="136">
        <f t="shared" si="55"/>
      </c>
    </row>
    <row r="163" spans="6:30" ht="16.5" customHeight="1">
      <c r="F163" s="210">
        <f t="shared" si="56"/>
        <v>158</v>
      </c>
      <c r="G163" s="28">
        <f t="shared" si="51"/>
        <v>48699</v>
      </c>
      <c r="H163" s="29">
        <f t="shared" si="49"/>
      </c>
      <c r="I163" s="22">
        <f t="shared" si="63"/>
      </c>
      <c r="J163" s="30">
        <f t="shared" si="57"/>
        <v>48699</v>
      </c>
      <c r="K163" s="23">
        <f t="shared" si="64"/>
      </c>
      <c r="L163" s="29">
        <f t="shared" si="58"/>
        <v>48699</v>
      </c>
      <c r="M163" s="22">
        <f t="shared" si="59"/>
        <v>50000</v>
      </c>
      <c r="N163" s="23">
        <f t="shared" si="65"/>
      </c>
      <c r="O163" s="29">
        <f t="shared" si="52"/>
        <v>48699</v>
      </c>
      <c r="P163" s="22">
        <f t="shared" si="60"/>
        <v>50000</v>
      </c>
      <c r="Q163" s="23">
        <f t="shared" si="61"/>
      </c>
      <c r="R163" s="24">
        <f t="shared" si="62"/>
        <v>100000</v>
      </c>
      <c r="S163" s="211">
        <f t="shared" si="50"/>
        <v>2033</v>
      </c>
      <c r="T163" s="39"/>
      <c r="AB163" s="136">
        <f t="shared" si="53"/>
      </c>
      <c r="AC163" s="136">
        <f t="shared" si="54"/>
      </c>
      <c r="AD163" s="136">
        <f t="shared" si="55"/>
      </c>
    </row>
    <row r="164" spans="6:30" ht="16.5" customHeight="1">
      <c r="F164" s="210">
        <f t="shared" si="56"/>
        <v>159</v>
      </c>
      <c r="G164" s="28">
        <f t="shared" si="51"/>
        <v>48730</v>
      </c>
      <c r="H164" s="29">
        <f t="shared" si="49"/>
      </c>
      <c r="I164" s="22">
        <f t="shared" si="63"/>
      </c>
      <c r="J164" s="30">
        <f>IF(OR(J163="",J163&gt;D$27),"",DATE(YEAR(J$6),MONTH(J$6)+F163+IF(OR(D$25="末",D$25=31),1,0),IF(OR(D$25="末",D$25=31),0,D$25)))</f>
        <v>48730</v>
      </c>
      <c r="K164" s="23">
        <f t="shared" si="64"/>
      </c>
      <c r="L164" s="29">
        <f t="shared" si="58"/>
        <v>48730</v>
      </c>
      <c r="M164" s="22">
        <f t="shared" si="59"/>
        <v>50000</v>
      </c>
      <c r="N164" s="23" t="str">
        <f t="shared" si="65"/>
        <v>２人目成人</v>
      </c>
      <c r="O164" s="29">
        <f t="shared" si="52"/>
        <v>48730</v>
      </c>
      <c r="P164" s="22">
        <f t="shared" si="60"/>
        <v>50000</v>
      </c>
      <c r="Q164" s="23">
        <f t="shared" si="61"/>
      </c>
      <c r="R164" s="24">
        <f t="shared" si="62"/>
        <v>100000</v>
      </c>
      <c r="S164" s="211">
        <f t="shared" si="50"/>
        <v>2033</v>
      </c>
      <c r="T164" s="39"/>
      <c r="AB164" s="136">
        <f t="shared" si="53"/>
      </c>
      <c r="AC164" s="136" t="str">
        <f t="shared" si="54"/>
        <v>20歳誕生月</v>
      </c>
      <c r="AD164" s="136">
        <f t="shared" si="55"/>
      </c>
    </row>
    <row r="165" spans="6:30" ht="16.5" customHeight="1">
      <c r="F165" s="210">
        <f t="shared" si="56"/>
        <v>160</v>
      </c>
      <c r="G165" s="28">
        <f t="shared" si="51"/>
      </c>
      <c r="H165" s="29">
        <f t="shared" si="49"/>
      </c>
      <c r="I165" s="22">
        <f t="shared" si="63"/>
      </c>
      <c r="J165" s="30">
        <f t="shared" si="57"/>
      </c>
      <c r="K165" s="23">
        <f t="shared" si="64"/>
      </c>
      <c r="L165" s="29">
        <f t="shared" si="58"/>
      </c>
      <c r="M165" s="22">
        <f t="shared" si="59"/>
      </c>
      <c r="N165" s="23">
        <f t="shared" si="65"/>
      </c>
      <c r="O165" s="29">
        <f t="shared" si="52"/>
        <v>48760</v>
      </c>
      <c r="P165" s="22">
        <f t="shared" si="60"/>
        <v>50000</v>
      </c>
      <c r="Q165" s="23">
        <f t="shared" si="61"/>
      </c>
      <c r="R165" s="24">
        <f t="shared" si="62"/>
        <v>50000</v>
      </c>
      <c r="S165" s="211">
        <f t="shared" si="50"/>
      </c>
      <c r="T165" s="39"/>
      <c r="AB165" s="136">
        <f t="shared" si="53"/>
      </c>
      <c r="AC165" s="136">
        <f t="shared" si="54"/>
      </c>
      <c r="AD165" s="136">
        <f t="shared" si="55"/>
      </c>
    </row>
    <row r="166" spans="6:30" ht="16.5" customHeight="1">
      <c r="F166" s="210">
        <f t="shared" si="56"/>
        <v>161</v>
      </c>
      <c r="G166" s="28">
        <f t="shared" si="51"/>
      </c>
      <c r="H166" s="29">
        <f t="shared" si="49"/>
      </c>
      <c r="I166" s="22">
        <f t="shared" si="63"/>
      </c>
      <c r="J166" s="30">
        <f t="shared" si="57"/>
      </c>
      <c r="K166" s="23">
        <f t="shared" si="64"/>
      </c>
      <c r="L166" s="29">
        <f t="shared" si="58"/>
      </c>
      <c r="M166" s="22">
        <f t="shared" si="59"/>
      </c>
      <c r="N166" s="23">
        <f t="shared" si="65"/>
      </c>
      <c r="O166" s="29">
        <f t="shared" si="52"/>
        <v>48791</v>
      </c>
      <c r="P166" s="22">
        <f t="shared" si="60"/>
        <v>50000</v>
      </c>
      <c r="Q166" s="23">
        <f t="shared" si="61"/>
      </c>
      <c r="R166" s="24">
        <f t="shared" si="62"/>
        <v>50000</v>
      </c>
      <c r="S166" s="211">
        <f t="shared" si="50"/>
      </c>
      <c r="T166" s="39"/>
      <c r="AB166" s="136">
        <f t="shared" si="53"/>
      </c>
      <c r="AC166" s="136">
        <f t="shared" si="54"/>
      </c>
      <c r="AD166" s="136">
        <f t="shared" si="55"/>
      </c>
    </row>
    <row r="167" spans="6:30" ht="16.5" customHeight="1">
      <c r="F167" s="210">
        <f t="shared" si="56"/>
        <v>162</v>
      </c>
      <c r="G167" s="28">
        <f t="shared" si="51"/>
      </c>
      <c r="H167" s="29">
        <f t="shared" si="49"/>
      </c>
      <c r="I167" s="22">
        <f t="shared" si="63"/>
      </c>
      <c r="J167" s="30">
        <f t="shared" si="57"/>
      </c>
      <c r="K167" s="23">
        <f t="shared" si="64"/>
      </c>
      <c r="L167" s="29">
        <f t="shared" si="58"/>
      </c>
      <c r="M167" s="22">
        <f t="shared" si="59"/>
      </c>
      <c r="N167" s="23">
        <f t="shared" si="65"/>
      </c>
      <c r="O167" s="29">
        <f t="shared" si="52"/>
        <v>48822</v>
      </c>
      <c r="P167" s="22">
        <f t="shared" si="60"/>
        <v>50000</v>
      </c>
      <c r="Q167" s="23">
        <f t="shared" si="61"/>
      </c>
      <c r="R167" s="24">
        <f t="shared" si="62"/>
        <v>50000</v>
      </c>
      <c r="S167" s="211">
        <f t="shared" si="50"/>
      </c>
      <c r="T167" s="39"/>
      <c r="AB167" s="136">
        <f t="shared" si="53"/>
      </c>
      <c r="AC167" s="136">
        <f t="shared" si="54"/>
      </c>
      <c r="AD167" s="136">
        <f t="shared" si="55"/>
      </c>
    </row>
    <row r="168" spans="6:30" ht="16.5" customHeight="1">
      <c r="F168" s="210">
        <f t="shared" si="56"/>
        <v>163</v>
      </c>
      <c r="G168" s="28">
        <f t="shared" si="51"/>
      </c>
      <c r="H168" s="29">
        <f t="shared" si="49"/>
      </c>
      <c r="I168" s="22">
        <f t="shared" si="63"/>
      </c>
      <c r="J168" s="30">
        <f t="shared" si="57"/>
      </c>
      <c r="K168" s="23">
        <f t="shared" si="64"/>
      </c>
      <c r="L168" s="29">
        <f t="shared" si="58"/>
      </c>
      <c r="M168" s="22">
        <f t="shared" si="59"/>
      </c>
      <c r="N168" s="23">
        <f t="shared" si="65"/>
      </c>
      <c r="O168" s="29">
        <f t="shared" si="52"/>
        <v>48852</v>
      </c>
      <c r="P168" s="22">
        <f t="shared" si="60"/>
        <v>50000</v>
      </c>
      <c r="Q168" s="23" t="str">
        <f t="shared" si="61"/>
        <v>15歳誕生月</v>
      </c>
      <c r="R168" s="24">
        <f t="shared" si="62"/>
        <v>50000</v>
      </c>
      <c r="S168" s="211">
        <f t="shared" si="50"/>
      </c>
      <c r="T168" s="39"/>
      <c r="AB168" s="136">
        <f t="shared" si="53"/>
      </c>
      <c r="AC168" s="136">
        <f t="shared" si="54"/>
      </c>
      <c r="AD168" s="136" t="str">
        <f t="shared" si="55"/>
        <v>15歳誕生月</v>
      </c>
    </row>
    <row r="169" spans="6:30" ht="16.5" customHeight="1">
      <c r="F169" s="210">
        <f t="shared" si="56"/>
        <v>164</v>
      </c>
      <c r="G169" s="28">
        <f t="shared" si="51"/>
      </c>
      <c r="H169" s="29">
        <f t="shared" si="49"/>
      </c>
      <c r="I169" s="22">
        <f t="shared" si="63"/>
      </c>
      <c r="J169" s="30">
        <f t="shared" si="57"/>
      </c>
      <c r="K169" s="23">
        <f t="shared" si="64"/>
      </c>
      <c r="L169" s="29">
        <f t="shared" si="58"/>
      </c>
      <c r="M169" s="22">
        <f t="shared" si="59"/>
      </c>
      <c r="N169" s="23">
        <f t="shared" si="65"/>
      </c>
      <c r="O169" s="29">
        <f t="shared" si="52"/>
        <v>48883</v>
      </c>
      <c r="P169" s="22">
        <f t="shared" si="60"/>
        <v>50000</v>
      </c>
      <c r="Q169" s="23">
        <f t="shared" si="61"/>
      </c>
      <c r="R169" s="24">
        <f t="shared" si="62"/>
        <v>50000</v>
      </c>
      <c r="S169" s="211">
        <f t="shared" si="50"/>
      </c>
      <c r="T169" s="39"/>
      <c r="AB169" s="136">
        <f t="shared" si="53"/>
      </c>
      <c r="AC169" s="136">
        <f t="shared" si="54"/>
      </c>
      <c r="AD169" s="136">
        <f t="shared" si="55"/>
      </c>
    </row>
    <row r="170" spans="6:30" ht="16.5" customHeight="1">
      <c r="F170" s="210">
        <f t="shared" si="56"/>
        <v>165</v>
      </c>
      <c r="G170" s="28">
        <f t="shared" si="51"/>
      </c>
      <c r="H170" s="29">
        <f t="shared" si="49"/>
      </c>
      <c r="I170" s="22">
        <f t="shared" si="63"/>
      </c>
      <c r="J170" s="30">
        <f t="shared" si="57"/>
      </c>
      <c r="K170" s="23">
        <f t="shared" si="64"/>
      </c>
      <c r="L170" s="29">
        <f t="shared" si="58"/>
      </c>
      <c r="M170" s="22">
        <f t="shared" si="59"/>
      </c>
      <c r="N170" s="23">
        <f t="shared" si="65"/>
      </c>
      <c r="O170" s="29">
        <f t="shared" si="52"/>
        <v>48913</v>
      </c>
      <c r="P170" s="22">
        <f t="shared" si="60"/>
        <v>50000</v>
      </c>
      <c r="Q170" s="23">
        <f t="shared" si="61"/>
      </c>
      <c r="R170" s="24">
        <f t="shared" si="62"/>
        <v>50000</v>
      </c>
      <c r="S170" s="211">
        <f t="shared" si="50"/>
      </c>
      <c r="T170" s="39"/>
      <c r="AB170" s="136">
        <f t="shared" si="53"/>
      </c>
      <c r="AC170" s="136">
        <f t="shared" si="54"/>
      </c>
      <c r="AD170" s="136">
        <f t="shared" si="55"/>
      </c>
    </row>
    <row r="171" spans="6:30" ht="16.5" customHeight="1">
      <c r="F171" s="210">
        <f t="shared" si="56"/>
        <v>166</v>
      </c>
      <c r="G171" s="28">
        <f t="shared" si="51"/>
      </c>
      <c r="H171" s="29">
        <f t="shared" si="49"/>
      </c>
      <c r="I171" s="22">
        <f t="shared" si="63"/>
      </c>
      <c r="J171" s="30">
        <f t="shared" si="57"/>
      </c>
      <c r="K171" s="23">
        <f t="shared" si="64"/>
      </c>
      <c r="L171" s="29">
        <f t="shared" si="58"/>
      </c>
      <c r="M171" s="22">
        <f t="shared" si="59"/>
      </c>
      <c r="N171" s="23">
        <f t="shared" si="65"/>
      </c>
      <c r="O171" s="29">
        <f t="shared" si="52"/>
        <v>48944</v>
      </c>
      <c r="P171" s="22">
        <f t="shared" si="60"/>
        <v>50000</v>
      </c>
      <c r="Q171" s="23">
        <f t="shared" si="61"/>
      </c>
      <c r="R171" s="24">
        <f t="shared" si="62"/>
        <v>50000</v>
      </c>
      <c r="S171" s="211">
        <f t="shared" si="50"/>
      </c>
      <c r="T171" s="39"/>
      <c r="AB171" s="136">
        <f t="shared" si="53"/>
      </c>
      <c r="AC171" s="136">
        <f t="shared" si="54"/>
      </c>
      <c r="AD171" s="136">
        <f t="shared" si="55"/>
      </c>
    </row>
    <row r="172" spans="6:30" ht="16.5" customHeight="1">
      <c r="F172" s="210">
        <f t="shared" si="56"/>
        <v>167</v>
      </c>
      <c r="G172" s="28">
        <f t="shared" si="51"/>
      </c>
      <c r="H172" s="29">
        <f t="shared" si="49"/>
      </c>
      <c r="I172" s="22">
        <f t="shared" si="63"/>
      </c>
      <c r="J172" s="30">
        <f t="shared" si="57"/>
      </c>
      <c r="K172" s="23">
        <f t="shared" si="64"/>
      </c>
      <c r="L172" s="29">
        <f t="shared" si="58"/>
      </c>
      <c r="M172" s="22">
        <f t="shared" si="59"/>
      </c>
      <c r="N172" s="23">
        <f t="shared" si="65"/>
      </c>
      <c r="O172" s="29">
        <f t="shared" si="52"/>
        <v>48975</v>
      </c>
      <c r="P172" s="22">
        <f t="shared" si="60"/>
        <v>50000</v>
      </c>
      <c r="Q172" s="23">
        <f t="shared" si="61"/>
      </c>
      <c r="R172" s="24">
        <f t="shared" si="62"/>
        <v>50000</v>
      </c>
      <c r="S172" s="211">
        <f t="shared" si="50"/>
      </c>
      <c r="T172" s="39"/>
      <c r="AB172" s="136">
        <f t="shared" si="53"/>
      </c>
      <c r="AC172" s="136">
        <f t="shared" si="54"/>
      </c>
      <c r="AD172" s="136">
        <f t="shared" si="55"/>
      </c>
    </row>
    <row r="173" spans="6:30" ht="16.5" customHeight="1">
      <c r="F173" s="210">
        <f t="shared" si="56"/>
        <v>168</v>
      </c>
      <c r="G173" s="28">
        <f t="shared" si="51"/>
      </c>
      <c r="H173" s="29">
        <f t="shared" si="49"/>
      </c>
      <c r="I173" s="22">
        <f t="shared" si="63"/>
      </c>
      <c r="J173" s="30">
        <f t="shared" si="57"/>
      </c>
      <c r="K173" s="23">
        <f t="shared" si="64"/>
      </c>
      <c r="L173" s="29">
        <f t="shared" si="58"/>
      </c>
      <c r="M173" s="22">
        <f t="shared" si="59"/>
      </c>
      <c r="N173" s="23">
        <f t="shared" si="65"/>
      </c>
      <c r="O173" s="29">
        <f t="shared" si="52"/>
        <v>49003</v>
      </c>
      <c r="P173" s="22">
        <f t="shared" si="60"/>
        <v>50000</v>
      </c>
      <c r="Q173" s="23">
        <f t="shared" si="61"/>
      </c>
      <c r="R173" s="24">
        <f t="shared" si="62"/>
        <v>50000</v>
      </c>
      <c r="S173" s="211">
        <f t="shared" si="50"/>
      </c>
      <c r="T173" s="39"/>
      <c r="AB173" s="136">
        <f t="shared" si="53"/>
      </c>
      <c r="AC173" s="136">
        <f t="shared" si="54"/>
      </c>
      <c r="AD173" s="136">
        <f t="shared" si="55"/>
      </c>
    </row>
    <row r="174" spans="6:30" ht="16.5" customHeight="1">
      <c r="F174" s="210">
        <f t="shared" si="56"/>
        <v>169</v>
      </c>
      <c r="G174" s="28">
        <f t="shared" si="51"/>
      </c>
      <c r="H174" s="29">
        <f t="shared" si="49"/>
      </c>
      <c r="I174" s="22">
        <f t="shared" si="63"/>
      </c>
      <c r="J174" s="30">
        <f t="shared" si="57"/>
      </c>
      <c r="K174" s="23">
        <f t="shared" si="64"/>
      </c>
      <c r="L174" s="29">
        <f t="shared" si="58"/>
      </c>
      <c r="M174" s="22">
        <f t="shared" si="59"/>
      </c>
      <c r="N174" s="23">
        <f t="shared" si="65"/>
      </c>
      <c r="O174" s="29">
        <f t="shared" si="52"/>
        <v>49034</v>
      </c>
      <c r="P174" s="22">
        <f t="shared" si="60"/>
        <v>50000</v>
      </c>
      <c r="Q174" s="23">
        <f t="shared" si="61"/>
      </c>
      <c r="R174" s="24">
        <f t="shared" si="62"/>
        <v>50000</v>
      </c>
      <c r="S174" s="211">
        <f t="shared" si="50"/>
      </c>
      <c r="T174" s="39"/>
      <c r="AB174" s="136">
        <f t="shared" si="53"/>
      </c>
      <c r="AC174" s="136">
        <f t="shared" si="54"/>
      </c>
      <c r="AD174" s="136">
        <f t="shared" si="55"/>
      </c>
    </row>
    <row r="175" spans="6:30" ht="16.5" customHeight="1">
      <c r="F175" s="210">
        <f t="shared" si="56"/>
        <v>170</v>
      </c>
      <c r="G175" s="28">
        <f t="shared" si="51"/>
      </c>
      <c r="H175" s="29">
        <f t="shared" si="49"/>
      </c>
      <c r="I175" s="22">
        <f t="shared" si="63"/>
      </c>
      <c r="J175" s="30">
        <f t="shared" si="57"/>
      </c>
      <c r="K175" s="23">
        <f t="shared" si="64"/>
      </c>
      <c r="L175" s="29">
        <f t="shared" si="58"/>
      </c>
      <c r="M175" s="22">
        <f t="shared" si="59"/>
      </c>
      <c r="N175" s="23">
        <f t="shared" si="65"/>
      </c>
      <c r="O175" s="29">
        <f t="shared" si="52"/>
        <v>49064</v>
      </c>
      <c r="P175" s="22">
        <f t="shared" si="60"/>
        <v>50000</v>
      </c>
      <c r="Q175" s="23">
        <f t="shared" si="61"/>
      </c>
      <c r="R175" s="24">
        <f t="shared" si="62"/>
        <v>50000</v>
      </c>
      <c r="S175" s="211">
        <f t="shared" si="50"/>
      </c>
      <c r="T175" s="39"/>
      <c r="AB175" s="136">
        <f t="shared" si="53"/>
      </c>
      <c r="AC175" s="136">
        <f t="shared" si="54"/>
      </c>
      <c r="AD175" s="136">
        <f t="shared" si="55"/>
      </c>
    </row>
    <row r="176" spans="6:30" ht="16.5" customHeight="1">
      <c r="F176" s="210">
        <f t="shared" si="56"/>
        <v>171</v>
      </c>
      <c r="G176" s="28">
        <f t="shared" si="51"/>
      </c>
      <c r="H176" s="29">
        <f t="shared" si="49"/>
      </c>
      <c r="I176" s="22">
        <f t="shared" si="63"/>
      </c>
      <c r="J176" s="30">
        <f t="shared" si="57"/>
      </c>
      <c r="K176" s="23">
        <f t="shared" si="64"/>
      </c>
      <c r="L176" s="29">
        <f t="shared" si="58"/>
      </c>
      <c r="M176" s="22">
        <f t="shared" si="59"/>
      </c>
      <c r="N176" s="23">
        <f t="shared" si="65"/>
      </c>
      <c r="O176" s="29">
        <f t="shared" si="52"/>
        <v>49095</v>
      </c>
      <c r="P176" s="22">
        <f t="shared" si="60"/>
        <v>50000</v>
      </c>
      <c r="Q176" s="23">
        <f t="shared" si="61"/>
      </c>
      <c r="R176" s="24">
        <f t="shared" si="62"/>
        <v>50000</v>
      </c>
      <c r="S176" s="211">
        <f t="shared" si="50"/>
      </c>
      <c r="T176" s="39"/>
      <c r="AB176" s="136">
        <f t="shared" si="53"/>
      </c>
      <c r="AC176" s="136">
        <f t="shared" si="54"/>
      </c>
      <c r="AD176" s="136">
        <f t="shared" si="55"/>
      </c>
    </row>
    <row r="177" spans="6:30" ht="16.5" customHeight="1">
      <c r="F177" s="210">
        <f t="shared" si="56"/>
        <v>172</v>
      </c>
      <c r="G177" s="28">
        <f t="shared" si="51"/>
      </c>
      <c r="H177" s="29">
        <f t="shared" si="49"/>
      </c>
      <c r="I177" s="22">
        <f t="shared" si="63"/>
      </c>
      <c r="J177" s="30">
        <f t="shared" si="57"/>
      </c>
      <c r="K177" s="23">
        <f t="shared" si="64"/>
      </c>
      <c r="L177" s="29">
        <f t="shared" si="58"/>
      </c>
      <c r="M177" s="22">
        <f t="shared" si="59"/>
      </c>
      <c r="N177" s="23">
        <f t="shared" si="65"/>
      </c>
      <c r="O177" s="29">
        <f t="shared" si="52"/>
        <v>49125</v>
      </c>
      <c r="P177" s="22">
        <f t="shared" si="60"/>
        <v>50000</v>
      </c>
      <c r="Q177" s="23">
        <f t="shared" si="61"/>
      </c>
      <c r="R177" s="24">
        <f t="shared" si="62"/>
        <v>50000</v>
      </c>
      <c r="S177" s="211">
        <f t="shared" si="50"/>
      </c>
      <c r="T177" s="39"/>
      <c r="AB177" s="136">
        <f t="shared" si="53"/>
      </c>
      <c r="AC177" s="136">
        <f t="shared" si="54"/>
      </c>
      <c r="AD177" s="136">
        <f t="shared" si="55"/>
      </c>
    </row>
    <row r="178" spans="6:30" ht="16.5" customHeight="1">
      <c r="F178" s="210">
        <f t="shared" si="56"/>
        <v>173</v>
      </c>
      <c r="G178" s="28">
        <f t="shared" si="51"/>
      </c>
      <c r="H178" s="29">
        <f t="shared" si="49"/>
      </c>
      <c r="I178" s="22">
        <f t="shared" si="63"/>
      </c>
      <c r="J178" s="30">
        <f t="shared" si="57"/>
      </c>
      <c r="K178" s="23">
        <f t="shared" si="64"/>
      </c>
      <c r="L178" s="29">
        <f t="shared" si="58"/>
      </c>
      <c r="M178" s="22">
        <f t="shared" si="59"/>
      </c>
      <c r="N178" s="23">
        <f t="shared" si="65"/>
      </c>
      <c r="O178" s="29">
        <f t="shared" si="52"/>
        <v>49156</v>
      </c>
      <c r="P178" s="22">
        <f t="shared" si="60"/>
        <v>50000</v>
      </c>
      <c r="Q178" s="23">
        <f t="shared" si="61"/>
      </c>
      <c r="R178" s="24">
        <f t="shared" si="62"/>
        <v>50000</v>
      </c>
      <c r="S178" s="211">
        <f t="shared" si="50"/>
      </c>
      <c r="T178" s="39"/>
      <c r="AB178" s="136">
        <f t="shared" si="53"/>
      </c>
      <c r="AC178" s="136">
        <f t="shared" si="54"/>
      </c>
      <c r="AD178" s="136">
        <f t="shared" si="55"/>
      </c>
    </row>
    <row r="179" spans="6:30" ht="16.5" customHeight="1">
      <c r="F179" s="210">
        <f t="shared" si="56"/>
        <v>174</v>
      </c>
      <c r="G179" s="28">
        <f t="shared" si="51"/>
      </c>
      <c r="H179" s="29">
        <f t="shared" si="49"/>
      </c>
      <c r="I179" s="22">
        <f t="shared" si="63"/>
      </c>
      <c r="J179" s="30">
        <f t="shared" si="57"/>
      </c>
      <c r="K179" s="23">
        <f t="shared" si="64"/>
      </c>
      <c r="L179" s="29">
        <f t="shared" si="58"/>
      </c>
      <c r="M179" s="22">
        <f t="shared" si="59"/>
      </c>
      <c r="N179" s="23">
        <f t="shared" si="65"/>
      </c>
      <c r="O179" s="29">
        <f t="shared" si="52"/>
        <v>49187</v>
      </c>
      <c r="P179" s="22">
        <f t="shared" si="60"/>
        <v>50000</v>
      </c>
      <c r="Q179" s="23">
        <f t="shared" si="61"/>
      </c>
      <c r="R179" s="24">
        <f t="shared" si="62"/>
        <v>50000</v>
      </c>
      <c r="S179" s="211">
        <f t="shared" si="50"/>
      </c>
      <c r="T179" s="39"/>
      <c r="AB179" s="136">
        <f t="shared" si="53"/>
      </c>
      <c r="AC179" s="136">
        <f t="shared" si="54"/>
      </c>
      <c r="AD179" s="136">
        <f t="shared" si="55"/>
      </c>
    </row>
    <row r="180" spans="6:30" ht="16.5" customHeight="1">
      <c r="F180" s="210">
        <f t="shared" si="56"/>
        <v>175</v>
      </c>
      <c r="G180" s="28">
        <f t="shared" si="51"/>
      </c>
      <c r="H180" s="29">
        <f t="shared" si="49"/>
      </c>
      <c r="I180" s="22">
        <f t="shared" si="63"/>
      </c>
      <c r="J180" s="30">
        <f t="shared" si="57"/>
      </c>
      <c r="K180" s="23">
        <f t="shared" si="64"/>
      </c>
      <c r="L180" s="29">
        <f t="shared" si="58"/>
      </c>
      <c r="M180" s="22">
        <f t="shared" si="59"/>
      </c>
      <c r="N180" s="23">
        <f t="shared" si="65"/>
      </c>
      <c r="O180" s="29">
        <f t="shared" si="52"/>
        <v>49217</v>
      </c>
      <c r="P180" s="22">
        <f t="shared" si="60"/>
        <v>50000</v>
      </c>
      <c r="Q180" s="23" t="str">
        <f t="shared" si="61"/>
        <v>16歳誕生月</v>
      </c>
      <c r="R180" s="24">
        <f t="shared" si="62"/>
        <v>50000</v>
      </c>
      <c r="S180" s="211">
        <f t="shared" si="50"/>
      </c>
      <c r="T180" s="39"/>
      <c r="AB180" s="136">
        <f t="shared" si="53"/>
      </c>
      <c r="AC180" s="136">
        <f t="shared" si="54"/>
      </c>
      <c r="AD180" s="136" t="str">
        <f t="shared" si="55"/>
        <v>16歳誕生月</v>
      </c>
    </row>
    <row r="181" spans="6:30" ht="16.5" customHeight="1">
      <c r="F181" s="210">
        <f t="shared" si="56"/>
        <v>176</v>
      </c>
      <c r="G181" s="28">
        <f t="shared" si="51"/>
      </c>
      <c r="H181" s="29">
        <f t="shared" si="49"/>
      </c>
      <c r="I181" s="22">
        <f t="shared" si="63"/>
      </c>
      <c r="J181" s="30">
        <f t="shared" si="57"/>
      </c>
      <c r="K181" s="23">
        <f t="shared" si="64"/>
      </c>
      <c r="L181" s="29">
        <f t="shared" si="58"/>
      </c>
      <c r="M181" s="22">
        <f t="shared" si="59"/>
      </c>
      <c r="N181" s="23">
        <f t="shared" si="65"/>
      </c>
      <c r="O181" s="29">
        <f t="shared" si="52"/>
        <v>49248</v>
      </c>
      <c r="P181" s="22">
        <f t="shared" si="60"/>
        <v>50000</v>
      </c>
      <c r="Q181" s="23">
        <f t="shared" si="61"/>
      </c>
      <c r="R181" s="24">
        <f t="shared" si="62"/>
        <v>50000</v>
      </c>
      <c r="S181" s="211">
        <f t="shared" si="50"/>
      </c>
      <c r="T181" s="39"/>
      <c r="AB181" s="136">
        <f t="shared" si="53"/>
      </c>
      <c r="AC181" s="136">
        <f t="shared" si="54"/>
      </c>
      <c r="AD181" s="136">
        <f t="shared" si="55"/>
      </c>
    </row>
    <row r="182" spans="6:30" ht="16.5" customHeight="1">
      <c r="F182" s="210">
        <f t="shared" si="56"/>
        <v>177</v>
      </c>
      <c r="G182" s="28">
        <f t="shared" si="51"/>
      </c>
      <c r="H182" s="29">
        <f t="shared" si="49"/>
      </c>
      <c r="I182" s="22">
        <f t="shared" si="63"/>
      </c>
      <c r="J182" s="30">
        <f t="shared" si="57"/>
      </c>
      <c r="K182" s="23">
        <f t="shared" si="64"/>
      </c>
      <c r="L182" s="29">
        <f t="shared" si="58"/>
      </c>
      <c r="M182" s="22">
        <f t="shared" si="59"/>
      </c>
      <c r="N182" s="23">
        <f t="shared" si="65"/>
      </c>
      <c r="O182" s="29">
        <f t="shared" si="52"/>
        <v>49278</v>
      </c>
      <c r="P182" s="22">
        <f t="shared" si="60"/>
        <v>50000</v>
      </c>
      <c r="Q182" s="23">
        <f t="shared" si="61"/>
      </c>
      <c r="R182" s="24">
        <f t="shared" si="62"/>
        <v>50000</v>
      </c>
      <c r="S182" s="211">
        <f t="shared" si="50"/>
      </c>
      <c r="T182" s="39"/>
      <c r="AB182" s="136">
        <f t="shared" si="53"/>
      </c>
      <c r="AC182" s="136">
        <f t="shared" si="54"/>
      </c>
      <c r="AD182" s="136">
        <f t="shared" si="55"/>
      </c>
    </row>
    <row r="183" spans="6:30" ht="16.5" customHeight="1">
      <c r="F183" s="210">
        <f t="shared" si="56"/>
        <v>178</v>
      </c>
      <c r="G183" s="28">
        <f t="shared" si="51"/>
      </c>
      <c r="H183" s="29">
        <f aca="true" t="shared" si="66" ref="H183:H246">IF(H182="","",IF(G183&gt;DATE(YEAR(D$11),MONTH(D$11)+1,0),"",IF(DAY(G183)&lt;&gt;D$9,DATE(YEAR(G183),MONTH(G183)+1,0),G183)))</f>
      </c>
      <c r="I183" s="22">
        <f t="shared" si="63"/>
      </c>
      <c r="J183" s="30">
        <f t="shared" si="57"/>
      </c>
      <c r="K183" s="23">
        <f t="shared" si="64"/>
      </c>
      <c r="L183" s="29">
        <f t="shared" si="58"/>
      </c>
      <c r="M183" s="22">
        <f t="shared" si="59"/>
      </c>
      <c r="N183" s="23">
        <f t="shared" si="65"/>
      </c>
      <c r="O183" s="29">
        <f t="shared" si="52"/>
        <v>49309</v>
      </c>
      <c r="P183" s="22">
        <f t="shared" si="60"/>
        <v>50000</v>
      </c>
      <c r="Q183" s="23">
        <f t="shared" si="61"/>
      </c>
      <c r="R183" s="24">
        <f t="shared" si="62"/>
        <v>50000</v>
      </c>
      <c r="S183" s="211">
        <f t="shared" si="50"/>
      </c>
      <c r="T183" s="39"/>
      <c r="AB183" s="136">
        <f t="shared" si="53"/>
      </c>
      <c r="AC183" s="136">
        <f t="shared" si="54"/>
      </c>
      <c r="AD183" s="136">
        <f t="shared" si="55"/>
      </c>
    </row>
    <row r="184" spans="6:30" ht="16.5" customHeight="1">
      <c r="F184" s="210">
        <f t="shared" si="56"/>
        <v>179</v>
      </c>
      <c r="G184" s="28">
        <f t="shared" si="51"/>
      </c>
      <c r="H184" s="29">
        <f t="shared" si="66"/>
      </c>
      <c r="I184" s="22">
        <f t="shared" si="63"/>
      </c>
      <c r="J184" s="30">
        <f t="shared" si="57"/>
      </c>
      <c r="K184" s="23">
        <f t="shared" si="64"/>
      </c>
      <c r="L184" s="29">
        <f t="shared" si="58"/>
      </c>
      <c r="M184" s="22">
        <f t="shared" si="59"/>
      </c>
      <c r="N184" s="23">
        <f t="shared" si="65"/>
      </c>
      <c r="O184" s="29">
        <f t="shared" si="52"/>
        <v>49340</v>
      </c>
      <c r="P184" s="22">
        <f t="shared" si="60"/>
        <v>50000</v>
      </c>
      <c r="Q184" s="23">
        <f t="shared" si="61"/>
      </c>
      <c r="R184" s="24">
        <f t="shared" si="62"/>
        <v>50000</v>
      </c>
      <c r="S184" s="211">
        <f t="shared" si="50"/>
      </c>
      <c r="T184" s="39"/>
      <c r="AB184" s="136">
        <f t="shared" si="53"/>
      </c>
      <c r="AC184" s="136">
        <f t="shared" si="54"/>
      </c>
      <c r="AD184" s="136">
        <f t="shared" si="55"/>
      </c>
    </row>
    <row r="185" spans="6:30" ht="16.5" customHeight="1">
      <c r="F185" s="210">
        <f t="shared" si="56"/>
        <v>180</v>
      </c>
      <c r="G185" s="28">
        <f t="shared" si="51"/>
      </c>
      <c r="H185" s="29">
        <f t="shared" si="66"/>
      </c>
      <c r="I185" s="22">
        <f t="shared" si="63"/>
      </c>
      <c r="J185" s="30">
        <f t="shared" si="57"/>
      </c>
      <c r="K185" s="23">
        <f t="shared" si="64"/>
      </c>
      <c r="L185" s="29">
        <f t="shared" si="58"/>
      </c>
      <c r="M185" s="22">
        <f t="shared" si="59"/>
      </c>
      <c r="N185" s="23">
        <f t="shared" si="65"/>
      </c>
      <c r="O185" s="29">
        <f t="shared" si="52"/>
        <v>49368</v>
      </c>
      <c r="P185" s="22">
        <f t="shared" si="60"/>
        <v>50000</v>
      </c>
      <c r="Q185" s="23">
        <f t="shared" si="61"/>
      </c>
      <c r="R185" s="24">
        <f t="shared" si="62"/>
        <v>50000</v>
      </c>
      <c r="S185" s="211">
        <f t="shared" si="50"/>
      </c>
      <c r="T185" s="39"/>
      <c r="AB185" s="136">
        <f t="shared" si="53"/>
      </c>
      <c r="AC185" s="136">
        <f t="shared" si="54"/>
      </c>
      <c r="AD185" s="136">
        <f t="shared" si="55"/>
      </c>
    </row>
    <row r="186" spans="6:30" ht="16.5" customHeight="1">
      <c r="F186" s="210">
        <f t="shared" si="56"/>
        <v>181</v>
      </c>
      <c r="G186" s="28">
        <f t="shared" si="51"/>
      </c>
      <c r="H186" s="29">
        <f t="shared" si="66"/>
      </c>
      <c r="I186" s="22">
        <f t="shared" si="63"/>
      </c>
      <c r="J186" s="30">
        <f t="shared" si="57"/>
      </c>
      <c r="K186" s="23">
        <f t="shared" si="64"/>
      </c>
      <c r="L186" s="29">
        <f t="shared" si="58"/>
      </c>
      <c r="M186" s="22">
        <f t="shared" si="59"/>
      </c>
      <c r="N186" s="23">
        <f t="shared" si="65"/>
      </c>
      <c r="O186" s="29">
        <f t="shared" si="52"/>
        <v>49399</v>
      </c>
      <c r="P186" s="22">
        <f t="shared" si="60"/>
        <v>50000</v>
      </c>
      <c r="Q186" s="23">
        <f t="shared" si="61"/>
      </c>
      <c r="R186" s="24">
        <f t="shared" si="62"/>
        <v>50000</v>
      </c>
      <c r="S186" s="211">
        <f t="shared" si="50"/>
      </c>
      <c r="T186" s="39"/>
      <c r="AB186" s="136">
        <f t="shared" si="53"/>
      </c>
      <c r="AC186" s="136">
        <f t="shared" si="54"/>
      </c>
      <c r="AD186" s="136">
        <f t="shared" si="55"/>
      </c>
    </row>
    <row r="187" spans="6:30" ht="16.5" customHeight="1">
      <c r="F187" s="210">
        <f t="shared" si="56"/>
        <v>182</v>
      </c>
      <c r="G187" s="28">
        <f t="shared" si="51"/>
      </c>
      <c r="H187" s="29">
        <f t="shared" si="66"/>
      </c>
      <c r="I187" s="22">
        <f t="shared" si="63"/>
      </c>
      <c r="J187" s="30">
        <f t="shared" si="57"/>
      </c>
      <c r="K187" s="23">
        <f t="shared" si="64"/>
      </c>
      <c r="L187" s="29">
        <f t="shared" si="58"/>
      </c>
      <c r="M187" s="22">
        <f t="shared" si="59"/>
      </c>
      <c r="N187" s="23">
        <f t="shared" si="65"/>
      </c>
      <c r="O187" s="29">
        <f t="shared" si="52"/>
        <v>49429</v>
      </c>
      <c r="P187" s="22">
        <f t="shared" si="60"/>
        <v>50000</v>
      </c>
      <c r="Q187" s="23">
        <f t="shared" si="61"/>
      </c>
      <c r="R187" s="24">
        <f t="shared" si="62"/>
        <v>50000</v>
      </c>
      <c r="S187" s="211">
        <f t="shared" si="50"/>
      </c>
      <c r="T187" s="39"/>
      <c r="AB187" s="136">
        <f t="shared" si="53"/>
      </c>
      <c r="AC187" s="136">
        <f t="shared" si="54"/>
      </c>
      <c r="AD187" s="136">
        <f t="shared" si="55"/>
      </c>
    </row>
    <row r="188" spans="6:30" ht="16.5" customHeight="1">
      <c r="F188" s="210">
        <f t="shared" si="56"/>
        <v>183</v>
      </c>
      <c r="G188" s="28">
        <f t="shared" si="51"/>
      </c>
      <c r="H188" s="29">
        <f t="shared" si="66"/>
      </c>
      <c r="I188" s="22">
        <f t="shared" si="63"/>
      </c>
      <c r="J188" s="30">
        <f t="shared" si="57"/>
      </c>
      <c r="K188" s="23">
        <f t="shared" si="64"/>
      </c>
      <c r="L188" s="29">
        <f t="shared" si="58"/>
      </c>
      <c r="M188" s="22">
        <f t="shared" si="59"/>
      </c>
      <c r="N188" s="23">
        <f t="shared" si="65"/>
      </c>
      <c r="O188" s="29">
        <f t="shared" si="52"/>
        <v>49460</v>
      </c>
      <c r="P188" s="22">
        <f t="shared" si="60"/>
        <v>50000</v>
      </c>
      <c r="Q188" s="23">
        <f t="shared" si="61"/>
      </c>
      <c r="R188" s="24">
        <f t="shared" si="62"/>
        <v>50000</v>
      </c>
      <c r="S188" s="211">
        <f t="shared" si="50"/>
      </c>
      <c r="T188" s="39"/>
      <c r="AB188" s="136">
        <f t="shared" si="53"/>
      </c>
      <c r="AC188" s="136">
        <f t="shared" si="54"/>
      </c>
      <c r="AD188" s="136">
        <f t="shared" si="55"/>
      </c>
    </row>
    <row r="189" spans="6:30" ht="16.5" customHeight="1">
      <c r="F189" s="210">
        <f t="shared" si="56"/>
        <v>184</v>
      </c>
      <c r="G189" s="28">
        <f t="shared" si="51"/>
      </c>
      <c r="H189" s="29">
        <f t="shared" si="66"/>
      </c>
      <c r="I189" s="22">
        <f t="shared" si="63"/>
      </c>
      <c r="J189" s="30">
        <f t="shared" si="57"/>
      </c>
      <c r="K189" s="23">
        <f t="shared" si="64"/>
      </c>
      <c r="L189" s="29">
        <f t="shared" si="58"/>
      </c>
      <c r="M189" s="22">
        <f t="shared" si="59"/>
      </c>
      <c r="N189" s="23">
        <f t="shared" si="65"/>
      </c>
      <c r="O189" s="29">
        <f t="shared" si="52"/>
        <v>49490</v>
      </c>
      <c r="P189" s="22">
        <f t="shared" si="60"/>
        <v>50000</v>
      </c>
      <c r="Q189" s="23">
        <f t="shared" si="61"/>
      </c>
      <c r="R189" s="24">
        <f t="shared" si="62"/>
        <v>50000</v>
      </c>
      <c r="S189" s="211">
        <f t="shared" si="50"/>
      </c>
      <c r="T189" s="39"/>
      <c r="AB189" s="136">
        <f t="shared" si="53"/>
      </c>
      <c r="AC189" s="136">
        <f t="shared" si="54"/>
      </c>
      <c r="AD189" s="136">
        <f t="shared" si="55"/>
      </c>
    </row>
    <row r="190" spans="6:30" ht="16.5" customHeight="1">
      <c r="F190" s="210">
        <f t="shared" si="56"/>
        <v>185</v>
      </c>
      <c r="G190" s="28">
        <f t="shared" si="51"/>
      </c>
      <c r="H190" s="29">
        <f t="shared" si="66"/>
      </c>
      <c r="I190" s="22">
        <f t="shared" si="63"/>
      </c>
      <c r="J190" s="30">
        <f t="shared" si="57"/>
      </c>
      <c r="K190" s="23">
        <f t="shared" si="64"/>
      </c>
      <c r="L190" s="29">
        <f t="shared" si="58"/>
      </c>
      <c r="M190" s="22">
        <f t="shared" si="59"/>
      </c>
      <c r="N190" s="23">
        <f t="shared" si="65"/>
      </c>
      <c r="O190" s="29">
        <f t="shared" si="52"/>
        <v>49521</v>
      </c>
      <c r="P190" s="22">
        <f t="shared" si="60"/>
        <v>50000</v>
      </c>
      <c r="Q190" s="23">
        <f t="shared" si="61"/>
      </c>
      <c r="R190" s="24">
        <f t="shared" si="62"/>
        <v>50000</v>
      </c>
      <c r="S190" s="211">
        <f t="shared" si="50"/>
      </c>
      <c r="T190" s="39"/>
      <c r="AB190" s="136">
        <f t="shared" si="53"/>
      </c>
      <c r="AC190" s="136">
        <f t="shared" si="54"/>
      </c>
      <c r="AD190" s="136">
        <f t="shared" si="55"/>
      </c>
    </row>
    <row r="191" spans="6:30" ht="16.5" customHeight="1">
      <c r="F191" s="210">
        <f t="shared" si="56"/>
        <v>186</v>
      </c>
      <c r="G191" s="28">
        <f t="shared" si="51"/>
      </c>
      <c r="H191" s="29">
        <f t="shared" si="66"/>
      </c>
      <c r="I191" s="22">
        <f t="shared" si="63"/>
      </c>
      <c r="J191" s="30">
        <f t="shared" si="57"/>
      </c>
      <c r="K191" s="23">
        <f t="shared" si="64"/>
      </c>
      <c r="L191" s="29">
        <f t="shared" si="58"/>
      </c>
      <c r="M191" s="22">
        <f t="shared" si="59"/>
      </c>
      <c r="N191" s="23">
        <f t="shared" si="65"/>
      </c>
      <c r="O191" s="29">
        <f t="shared" si="52"/>
        <v>49552</v>
      </c>
      <c r="P191" s="22">
        <f t="shared" si="60"/>
        <v>50000</v>
      </c>
      <c r="Q191" s="23">
        <f t="shared" si="61"/>
      </c>
      <c r="R191" s="24">
        <f t="shared" si="62"/>
        <v>50000</v>
      </c>
      <c r="S191" s="211">
        <f t="shared" si="50"/>
      </c>
      <c r="T191" s="39"/>
      <c r="AB191" s="136">
        <f t="shared" si="53"/>
      </c>
      <c r="AC191" s="136">
        <f t="shared" si="54"/>
      </c>
      <c r="AD191" s="136">
        <f t="shared" si="55"/>
      </c>
    </row>
    <row r="192" spans="6:30" ht="16.5" customHeight="1">
      <c r="F192" s="210">
        <f t="shared" si="56"/>
        <v>187</v>
      </c>
      <c r="G192" s="28">
        <f t="shared" si="51"/>
      </c>
      <c r="H192" s="29">
        <f t="shared" si="66"/>
      </c>
      <c r="I192" s="22">
        <f t="shared" si="63"/>
      </c>
      <c r="J192" s="30">
        <f t="shared" si="57"/>
      </c>
      <c r="K192" s="23">
        <f t="shared" si="64"/>
      </c>
      <c r="L192" s="29">
        <f t="shared" si="58"/>
      </c>
      <c r="M192" s="22">
        <f t="shared" si="59"/>
      </c>
      <c r="N192" s="23">
        <f t="shared" si="65"/>
      </c>
      <c r="O192" s="29">
        <f t="shared" si="52"/>
        <v>49582</v>
      </c>
      <c r="P192" s="22">
        <f t="shared" si="60"/>
        <v>50000</v>
      </c>
      <c r="Q192" s="23" t="str">
        <f t="shared" si="61"/>
        <v>17歳誕生月</v>
      </c>
      <c r="R192" s="24">
        <f t="shared" si="62"/>
        <v>50000</v>
      </c>
      <c r="S192" s="211">
        <f t="shared" si="50"/>
      </c>
      <c r="T192" s="39"/>
      <c r="AB192" s="136">
        <f t="shared" si="53"/>
      </c>
      <c r="AC192" s="136">
        <f t="shared" si="54"/>
      </c>
      <c r="AD192" s="136" t="str">
        <f t="shared" si="55"/>
        <v>17歳誕生月</v>
      </c>
    </row>
    <row r="193" spans="6:30" ht="16.5" customHeight="1">
      <c r="F193" s="210">
        <f t="shared" si="56"/>
        <v>188</v>
      </c>
      <c r="G193" s="28">
        <f t="shared" si="51"/>
      </c>
      <c r="H193" s="29">
        <f t="shared" si="66"/>
      </c>
      <c r="I193" s="22">
        <f t="shared" si="63"/>
      </c>
      <c r="J193" s="30">
        <f t="shared" si="57"/>
      </c>
      <c r="K193" s="23">
        <f t="shared" si="64"/>
      </c>
      <c r="L193" s="29">
        <f t="shared" si="58"/>
      </c>
      <c r="M193" s="22">
        <f t="shared" si="59"/>
      </c>
      <c r="N193" s="23">
        <f t="shared" si="65"/>
      </c>
      <c r="O193" s="29">
        <f t="shared" si="52"/>
        <v>49613</v>
      </c>
      <c r="P193" s="22">
        <f t="shared" si="60"/>
        <v>50000</v>
      </c>
      <c r="Q193" s="23">
        <f t="shared" si="61"/>
      </c>
      <c r="R193" s="24">
        <f t="shared" si="62"/>
        <v>50000</v>
      </c>
      <c r="S193" s="211">
        <f t="shared" si="50"/>
      </c>
      <c r="T193" s="39"/>
      <c r="AB193" s="136">
        <f t="shared" si="53"/>
      </c>
      <c r="AC193" s="136">
        <f t="shared" si="54"/>
      </c>
      <c r="AD193" s="136">
        <f t="shared" si="55"/>
      </c>
    </row>
    <row r="194" spans="6:30" ht="16.5" customHeight="1">
      <c r="F194" s="210">
        <f t="shared" si="56"/>
        <v>189</v>
      </c>
      <c r="G194" s="28">
        <f t="shared" si="51"/>
      </c>
      <c r="H194" s="29">
        <f t="shared" si="66"/>
      </c>
      <c r="I194" s="22">
        <f t="shared" si="63"/>
      </c>
      <c r="J194" s="30">
        <f t="shared" si="57"/>
      </c>
      <c r="K194" s="23">
        <f t="shared" si="64"/>
      </c>
      <c r="L194" s="29">
        <f t="shared" si="58"/>
      </c>
      <c r="M194" s="22">
        <f t="shared" si="59"/>
      </c>
      <c r="N194" s="23">
        <f t="shared" si="65"/>
      </c>
      <c r="O194" s="29">
        <f t="shared" si="52"/>
        <v>49643</v>
      </c>
      <c r="P194" s="22">
        <f t="shared" si="60"/>
        <v>50000</v>
      </c>
      <c r="Q194" s="23">
        <f t="shared" si="61"/>
      </c>
      <c r="R194" s="24">
        <f t="shared" si="62"/>
        <v>50000</v>
      </c>
      <c r="S194" s="211">
        <f t="shared" si="50"/>
      </c>
      <c r="T194" s="39"/>
      <c r="AB194" s="136">
        <f t="shared" si="53"/>
      </c>
      <c r="AC194" s="136">
        <f t="shared" si="54"/>
      </c>
      <c r="AD194" s="136">
        <f t="shared" si="55"/>
      </c>
    </row>
    <row r="195" spans="6:30" ht="16.5" customHeight="1">
      <c r="F195" s="210">
        <f t="shared" si="56"/>
        <v>190</v>
      </c>
      <c r="G195" s="28">
        <f t="shared" si="51"/>
      </c>
      <c r="H195" s="29">
        <f t="shared" si="66"/>
      </c>
      <c r="I195" s="22">
        <f t="shared" si="63"/>
      </c>
      <c r="J195" s="30">
        <f t="shared" si="57"/>
      </c>
      <c r="K195" s="23">
        <f t="shared" si="64"/>
      </c>
      <c r="L195" s="29">
        <f t="shared" si="58"/>
      </c>
      <c r="M195" s="22">
        <f t="shared" si="59"/>
      </c>
      <c r="N195" s="23">
        <f t="shared" si="65"/>
      </c>
      <c r="O195" s="29">
        <f t="shared" si="52"/>
        <v>49674</v>
      </c>
      <c r="P195" s="22">
        <f t="shared" si="60"/>
        <v>50000</v>
      </c>
      <c r="Q195" s="23">
        <f t="shared" si="61"/>
      </c>
      <c r="R195" s="24">
        <f t="shared" si="62"/>
        <v>50000</v>
      </c>
      <c r="S195" s="211">
        <f t="shared" si="50"/>
      </c>
      <c r="T195" s="39"/>
      <c r="AB195" s="136">
        <f t="shared" si="53"/>
      </c>
      <c r="AC195" s="136">
        <f t="shared" si="54"/>
      </c>
      <c r="AD195" s="136">
        <f t="shared" si="55"/>
      </c>
    </row>
    <row r="196" spans="6:30" ht="16.5" customHeight="1">
      <c r="F196" s="210">
        <f t="shared" si="56"/>
        <v>191</v>
      </c>
      <c r="G196" s="28">
        <f t="shared" si="51"/>
      </c>
      <c r="H196" s="29">
        <f t="shared" si="66"/>
      </c>
      <c r="I196" s="22">
        <f t="shared" si="63"/>
      </c>
      <c r="J196" s="30">
        <f t="shared" si="57"/>
      </c>
      <c r="K196" s="23">
        <f t="shared" si="64"/>
      </c>
      <c r="L196" s="29">
        <f t="shared" si="58"/>
      </c>
      <c r="M196" s="22">
        <f t="shared" si="59"/>
      </c>
      <c r="N196" s="23">
        <f t="shared" si="65"/>
      </c>
      <c r="O196" s="29">
        <f t="shared" si="52"/>
        <v>49705</v>
      </c>
      <c r="P196" s="22">
        <f t="shared" si="60"/>
        <v>50000</v>
      </c>
      <c r="Q196" s="23">
        <f t="shared" si="61"/>
      </c>
      <c r="R196" s="24">
        <f t="shared" si="62"/>
        <v>50000</v>
      </c>
      <c r="S196" s="211">
        <f t="shared" si="50"/>
      </c>
      <c r="T196" s="39"/>
      <c r="AB196" s="136">
        <f t="shared" si="53"/>
      </c>
      <c r="AC196" s="136">
        <f t="shared" si="54"/>
      </c>
      <c r="AD196" s="136">
        <f t="shared" si="55"/>
      </c>
    </row>
    <row r="197" spans="6:30" ht="16.5" customHeight="1">
      <c r="F197" s="210">
        <f t="shared" si="56"/>
        <v>192</v>
      </c>
      <c r="G197" s="28">
        <f t="shared" si="51"/>
      </c>
      <c r="H197" s="29">
        <f t="shared" si="66"/>
      </c>
      <c r="I197" s="22">
        <f t="shared" si="63"/>
      </c>
      <c r="J197" s="30">
        <f t="shared" si="57"/>
      </c>
      <c r="K197" s="23">
        <f t="shared" si="64"/>
      </c>
      <c r="L197" s="29">
        <f t="shared" si="58"/>
      </c>
      <c r="M197" s="22">
        <f t="shared" si="59"/>
      </c>
      <c r="N197" s="23">
        <f t="shared" si="65"/>
      </c>
      <c r="O197" s="29">
        <f t="shared" si="52"/>
        <v>49734</v>
      </c>
      <c r="P197" s="22">
        <f t="shared" si="60"/>
        <v>50000</v>
      </c>
      <c r="Q197" s="23">
        <f t="shared" si="61"/>
      </c>
      <c r="R197" s="24">
        <f t="shared" si="62"/>
        <v>50000</v>
      </c>
      <c r="S197" s="211">
        <f t="shared" si="50"/>
      </c>
      <c r="T197" s="39"/>
      <c r="AB197" s="136">
        <f t="shared" si="53"/>
      </c>
      <c r="AC197" s="136">
        <f t="shared" si="54"/>
      </c>
      <c r="AD197" s="136">
        <f t="shared" si="55"/>
      </c>
    </row>
    <row r="198" spans="6:30" ht="16.5" customHeight="1">
      <c r="F198" s="210">
        <f t="shared" si="56"/>
        <v>193</v>
      </c>
      <c r="G198" s="28">
        <f t="shared" si="51"/>
      </c>
      <c r="H198" s="29">
        <f t="shared" si="66"/>
      </c>
      <c r="I198" s="22">
        <f t="shared" si="63"/>
      </c>
      <c r="J198" s="30">
        <f t="shared" si="57"/>
      </c>
      <c r="K198" s="23">
        <f t="shared" si="64"/>
      </c>
      <c r="L198" s="29">
        <f t="shared" si="58"/>
      </c>
      <c r="M198" s="22">
        <f t="shared" si="59"/>
      </c>
      <c r="N198" s="23">
        <f t="shared" si="65"/>
      </c>
      <c r="O198" s="29">
        <f t="shared" si="52"/>
        <v>49765</v>
      </c>
      <c r="P198" s="22">
        <f t="shared" si="60"/>
        <v>50000</v>
      </c>
      <c r="Q198" s="23">
        <f t="shared" si="61"/>
      </c>
      <c r="R198" s="24">
        <f t="shared" si="62"/>
        <v>50000</v>
      </c>
      <c r="S198" s="211">
        <f aca="true" t="shared" si="67" ref="S198:S261">IF(AND(H198="",L198=""),"",IF(ISERROR(YEAR(H198)),YEAR(L198),YEAR(H198)))</f>
      </c>
      <c r="T198" s="39"/>
      <c r="AB198" s="136">
        <f t="shared" si="53"/>
      </c>
      <c r="AC198" s="136">
        <f t="shared" si="54"/>
      </c>
      <c r="AD198" s="136">
        <f t="shared" si="55"/>
      </c>
    </row>
    <row r="199" spans="6:30" ht="16.5" customHeight="1">
      <c r="F199" s="210">
        <f t="shared" si="56"/>
        <v>194</v>
      </c>
      <c r="G199" s="28">
        <f aca="true" t="shared" si="68" ref="G199:G262">IF(OR(G198="",AND(G198&gt;D$11,J198&gt;D$27)),"",DATE(YEAR(G$6),MONTH(G$6)+F198+IF(OR(D$9="末",D$9=31),1,0),IF(OR(D$9="末",D$9=31),0,D$9)))</f>
      </c>
      <c r="H199" s="29">
        <f t="shared" si="66"/>
      </c>
      <c r="I199" s="22">
        <f t="shared" si="63"/>
      </c>
      <c r="J199" s="30">
        <f t="shared" si="57"/>
      </c>
      <c r="K199" s="23">
        <f t="shared" si="64"/>
      </c>
      <c r="L199" s="29">
        <f t="shared" si="58"/>
      </c>
      <c r="M199" s="22">
        <f t="shared" si="59"/>
      </c>
      <c r="N199" s="23">
        <f t="shared" si="65"/>
      </c>
      <c r="O199" s="29">
        <f aca="true" t="shared" si="69" ref="O199:O228">IF(O198="","",IF(DATE(YEAR(D$43),MONTH(D$43)+1,DAY(0))&lt;=DATE(YEAR(O198),MONTH(O198)+1,DAY(0)),"",IF($D$41="末",DATE(YEAR(O198),MONTH(O198)+2,DAY(0)),DATE(YEAR(O198),MONTH(O198)+1,DAY(O198)))))</f>
        <v>49795</v>
      </c>
      <c r="P199" s="22">
        <f t="shared" si="60"/>
        <v>50000</v>
      </c>
      <c r="Q199" s="23">
        <f t="shared" si="61"/>
      </c>
      <c r="R199" s="24">
        <f t="shared" si="62"/>
        <v>50000</v>
      </c>
      <c r="S199" s="211">
        <f t="shared" si="67"/>
      </c>
      <c r="T199" s="39"/>
      <c r="AB199" s="136">
        <f aca="true" t="shared" si="70" ref="AB199:AB262">IF(H199="","",IF(AND(MONTH(D$6)=MONTH(H199)),YEAR(H199)-YEAR(D$6)&amp;"歳誕生月",""))</f>
      </c>
      <c r="AC199" s="136">
        <f aca="true" t="shared" si="71" ref="AC199:AC262">IF(L199="","",IF(AND(MONTH(D$22)=MONTH(L199)),YEAR(L199)-YEAR(D$22)&amp;"歳誕生月",""))</f>
      </c>
      <c r="AD199" s="136">
        <f aca="true" t="shared" si="72" ref="AD199:AD262">IF(O199="","",IF(AND(MONTH(D$38)=MONTH(O199)),YEAR(O199)-YEAR(D$38)&amp;"歳誕生月",""))</f>
      </c>
    </row>
    <row r="200" spans="6:30" ht="16.5" customHeight="1">
      <c r="F200" s="210">
        <f aca="true" t="shared" si="73" ref="F200:F263">F199+1</f>
        <v>195</v>
      </c>
      <c r="G200" s="28">
        <f t="shared" si="68"/>
      </c>
      <c r="H200" s="29">
        <f t="shared" si="66"/>
      </c>
      <c r="I200" s="22">
        <f t="shared" si="63"/>
      </c>
      <c r="J200" s="30">
        <f aca="true" t="shared" si="74" ref="J200:J263">IF(OR(J199="",J199&gt;D$27),"",DATE(YEAR(J$6),MONTH(J$6)+F199+IF(OR(D$25="末",D$25=31),1,0),IF(OR(D$25="末",D$25=31),0,D$25)))</f>
      </c>
      <c r="K200" s="23">
        <f t="shared" si="64"/>
      </c>
      <c r="L200" s="29">
        <f aca="true" t="shared" si="75" ref="L200:L263">IF(L199="","",IF(AND(J200&gt;DATE(YEAR(D$27),MONTH(D$27)+1,0),J200&gt;D$11),"",IF(DAY(J200)&lt;&gt;D$25,DATE(YEAR(J200),MONTH(J200)+1,0),J200)))</f>
      </c>
      <c r="M200" s="22">
        <f aca="true" t="shared" si="76" ref="M200:M263">IF(L200="","",IF(AND(D$28&lt;&gt;0,L200&gt;D$28),D$29,M199))</f>
      </c>
      <c r="N200" s="23">
        <f t="shared" si="65"/>
      </c>
      <c r="O200" s="29">
        <f t="shared" si="69"/>
        <v>49826</v>
      </c>
      <c r="P200" s="22">
        <f aca="true" t="shared" si="77" ref="P200:P263">IF(O200="","",IF(AND(D$44&lt;&gt;0,O200&gt;D$44),D$45,P199))</f>
        <v>50000</v>
      </c>
      <c r="Q200" s="23">
        <f aca="true" t="shared" si="78" ref="Q200:Q263">IF(O200="","",AD200)</f>
      </c>
      <c r="R200" s="24">
        <f aca="true" t="shared" si="79" ref="R200:R263">IF(I200="",0,I200)+IF(M200="",0,M200)+IF(P200="",0,P200)</f>
        <v>50000</v>
      </c>
      <c r="S200" s="211">
        <f t="shared" si="67"/>
      </c>
      <c r="T200" s="39"/>
      <c r="AB200" s="136">
        <f t="shared" si="70"/>
      </c>
      <c r="AC200" s="136">
        <f t="shared" si="71"/>
      </c>
      <c r="AD200" s="136">
        <f t="shared" si="72"/>
      </c>
    </row>
    <row r="201" spans="6:30" ht="16.5" customHeight="1">
      <c r="F201" s="210">
        <f t="shared" si="73"/>
        <v>196</v>
      </c>
      <c r="G201" s="28">
        <f t="shared" si="68"/>
      </c>
      <c r="H201" s="29">
        <f t="shared" si="66"/>
      </c>
      <c r="I201" s="22">
        <f aca="true" t="shared" si="80" ref="I201:I264">IF(H201="","",IF(AND(D$12&lt;&gt;0,H201&gt;D$12),D$13,I200))</f>
      </c>
      <c r="J201" s="30">
        <f t="shared" si="74"/>
      </c>
      <c r="K201" s="23">
        <f aca="true" t="shared" si="81" ref="K201:K264">IF(H201="","",IF(AND(YEAR(H201)=YEAR(D$15),MONTH(H201)=MONTH(D$15)),B$15,IF(AND(YEAR(H201)=YEAR(D$16),MONTH(H201)=MONTH(D$16)),B$16,IF(AND(YEAR(H201)=YEAR(D$17),MONTH(H201)=MONTH(D$17)),B$17,IF(AND(YEAR(H201)=YEAR(D$19),MONTH(H201)=MONTH(D$19)),B$19,IF(AND(YEAR(H201)=YEAR(D$18),MONTH(H201)=MONTH(D$18)),B$18,AB201))))))</f>
      </c>
      <c r="L201" s="29">
        <f t="shared" si="75"/>
      </c>
      <c r="M201" s="22">
        <f t="shared" si="76"/>
      </c>
      <c r="N201" s="23">
        <f aca="true" t="shared" si="82" ref="N201:N264">IF(L201="","",IF(AND(YEAR(L201)=YEAR(D$31),MONTH(L201)=MONTH(D$31)),B$31,IF(AND(YEAR(L201)=YEAR(D$32),MONTH(L201)=MONTH(D$32)),B$32,IF(AND(YEAR(L201)=YEAR(D$33),MONTH(L201)=MONTH(D$33)),B$33,IF(AND(YEAR(L201)=YEAR(D$35),MONTH(L201)=MONTH(D$35)),B$35,IF(AND(YEAR(L201)=YEAR(D$34),MONTH(L201)=MONTH(D$34)),B$34,AC201))))))</f>
      </c>
      <c r="O201" s="29">
        <f t="shared" si="69"/>
        <v>49856</v>
      </c>
      <c r="P201" s="22">
        <f t="shared" si="77"/>
        <v>50000</v>
      </c>
      <c r="Q201" s="23">
        <f t="shared" si="78"/>
      </c>
      <c r="R201" s="24">
        <f t="shared" si="79"/>
        <v>50000</v>
      </c>
      <c r="S201" s="211">
        <f t="shared" si="67"/>
      </c>
      <c r="T201" s="39"/>
      <c r="AB201" s="136">
        <f t="shared" si="70"/>
      </c>
      <c r="AC201" s="136">
        <f t="shared" si="71"/>
      </c>
      <c r="AD201" s="136">
        <f t="shared" si="72"/>
      </c>
    </row>
    <row r="202" spans="6:30" ht="16.5" customHeight="1">
      <c r="F202" s="210">
        <f t="shared" si="73"/>
        <v>197</v>
      </c>
      <c r="G202" s="28">
        <f t="shared" si="68"/>
      </c>
      <c r="H202" s="29">
        <f t="shared" si="66"/>
      </c>
      <c r="I202" s="22">
        <f t="shared" si="80"/>
      </c>
      <c r="J202" s="30">
        <f t="shared" si="74"/>
      </c>
      <c r="K202" s="23">
        <f t="shared" si="81"/>
      </c>
      <c r="L202" s="29">
        <f t="shared" si="75"/>
      </c>
      <c r="M202" s="22">
        <f t="shared" si="76"/>
      </c>
      <c r="N202" s="23">
        <f t="shared" si="82"/>
      </c>
      <c r="O202" s="29">
        <f t="shared" si="69"/>
        <v>49887</v>
      </c>
      <c r="P202" s="22">
        <f t="shared" si="77"/>
        <v>50000</v>
      </c>
      <c r="Q202" s="23">
        <f t="shared" si="78"/>
      </c>
      <c r="R202" s="24">
        <f t="shared" si="79"/>
        <v>50000</v>
      </c>
      <c r="S202" s="211">
        <f t="shared" si="67"/>
      </c>
      <c r="T202" s="39"/>
      <c r="AB202" s="136">
        <f t="shared" si="70"/>
      </c>
      <c r="AC202" s="136">
        <f t="shared" si="71"/>
      </c>
      <c r="AD202" s="136">
        <f t="shared" si="72"/>
      </c>
    </row>
    <row r="203" spans="6:30" ht="16.5" customHeight="1">
      <c r="F203" s="210">
        <f t="shared" si="73"/>
        <v>198</v>
      </c>
      <c r="G203" s="28">
        <f t="shared" si="68"/>
      </c>
      <c r="H203" s="29">
        <f t="shared" si="66"/>
      </c>
      <c r="I203" s="22">
        <f t="shared" si="80"/>
      </c>
      <c r="J203" s="30">
        <f t="shared" si="74"/>
      </c>
      <c r="K203" s="23">
        <f t="shared" si="81"/>
      </c>
      <c r="L203" s="29">
        <f t="shared" si="75"/>
      </c>
      <c r="M203" s="22">
        <f t="shared" si="76"/>
      </c>
      <c r="N203" s="23">
        <f t="shared" si="82"/>
      </c>
      <c r="O203" s="29">
        <f t="shared" si="69"/>
        <v>49918</v>
      </c>
      <c r="P203" s="22">
        <f t="shared" si="77"/>
        <v>50000</v>
      </c>
      <c r="Q203" s="23">
        <f t="shared" si="78"/>
      </c>
      <c r="R203" s="24">
        <f t="shared" si="79"/>
        <v>50000</v>
      </c>
      <c r="S203" s="211">
        <f t="shared" si="67"/>
      </c>
      <c r="T203" s="39"/>
      <c r="AB203" s="136">
        <f t="shared" si="70"/>
      </c>
      <c r="AC203" s="136">
        <f t="shared" si="71"/>
      </c>
      <c r="AD203" s="136">
        <f t="shared" si="72"/>
      </c>
    </row>
    <row r="204" spans="6:30" ht="16.5" customHeight="1">
      <c r="F204" s="210">
        <f t="shared" si="73"/>
        <v>199</v>
      </c>
      <c r="G204" s="28">
        <f t="shared" si="68"/>
      </c>
      <c r="H204" s="29">
        <f t="shared" si="66"/>
      </c>
      <c r="I204" s="22">
        <f t="shared" si="80"/>
      </c>
      <c r="J204" s="30">
        <f t="shared" si="74"/>
      </c>
      <c r="K204" s="23">
        <f t="shared" si="81"/>
      </c>
      <c r="L204" s="29">
        <f t="shared" si="75"/>
      </c>
      <c r="M204" s="22">
        <f t="shared" si="76"/>
      </c>
      <c r="N204" s="23">
        <f t="shared" si="82"/>
      </c>
      <c r="O204" s="29">
        <f t="shared" si="69"/>
        <v>49948</v>
      </c>
      <c r="P204" s="22">
        <f t="shared" si="77"/>
        <v>50000</v>
      </c>
      <c r="Q204" s="23" t="str">
        <f t="shared" si="78"/>
        <v>18歳誕生月</v>
      </c>
      <c r="R204" s="24">
        <f t="shared" si="79"/>
        <v>50000</v>
      </c>
      <c r="S204" s="211">
        <f t="shared" si="67"/>
      </c>
      <c r="T204" s="39"/>
      <c r="AB204" s="136">
        <f t="shared" si="70"/>
      </c>
      <c r="AC204" s="136">
        <f t="shared" si="71"/>
      </c>
      <c r="AD204" s="136" t="str">
        <f t="shared" si="72"/>
        <v>18歳誕生月</v>
      </c>
    </row>
    <row r="205" spans="6:30" ht="16.5" customHeight="1">
      <c r="F205" s="210">
        <f t="shared" si="73"/>
        <v>200</v>
      </c>
      <c r="G205" s="28">
        <f t="shared" si="68"/>
      </c>
      <c r="H205" s="29">
        <f t="shared" si="66"/>
      </c>
      <c r="I205" s="22">
        <f t="shared" si="80"/>
      </c>
      <c r="J205" s="30">
        <f t="shared" si="74"/>
      </c>
      <c r="K205" s="23">
        <f t="shared" si="81"/>
      </c>
      <c r="L205" s="29">
        <f t="shared" si="75"/>
      </c>
      <c r="M205" s="22">
        <f t="shared" si="76"/>
      </c>
      <c r="N205" s="23">
        <f t="shared" si="82"/>
      </c>
      <c r="O205" s="29">
        <f t="shared" si="69"/>
        <v>49979</v>
      </c>
      <c r="P205" s="22">
        <f t="shared" si="77"/>
        <v>50000</v>
      </c>
      <c r="Q205" s="23">
        <f t="shared" si="78"/>
      </c>
      <c r="R205" s="24">
        <f t="shared" si="79"/>
        <v>50000</v>
      </c>
      <c r="S205" s="211">
        <f t="shared" si="67"/>
      </c>
      <c r="T205" s="39"/>
      <c r="AB205" s="136">
        <f t="shared" si="70"/>
      </c>
      <c r="AC205" s="136">
        <f t="shared" si="71"/>
      </c>
      <c r="AD205" s="136">
        <f t="shared" si="72"/>
      </c>
    </row>
    <row r="206" spans="6:30" ht="16.5" customHeight="1">
      <c r="F206" s="210">
        <f t="shared" si="73"/>
        <v>201</v>
      </c>
      <c r="G206" s="28">
        <f t="shared" si="68"/>
      </c>
      <c r="H206" s="29">
        <f t="shared" si="66"/>
      </c>
      <c r="I206" s="22">
        <f t="shared" si="80"/>
      </c>
      <c r="J206" s="30">
        <f t="shared" si="74"/>
      </c>
      <c r="K206" s="23">
        <f t="shared" si="81"/>
      </c>
      <c r="L206" s="29">
        <f t="shared" si="75"/>
      </c>
      <c r="M206" s="22">
        <f t="shared" si="76"/>
      </c>
      <c r="N206" s="23">
        <f t="shared" si="82"/>
      </c>
      <c r="O206" s="29">
        <f t="shared" si="69"/>
        <v>50009</v>
      </c>
      <c r="P206" s="22">
        <f t="shared" si="77"/>
        <v>50000</v>
      </c>
      <c r="Q206" s="23">
        <f t="shared" si="78"/>
      </c>
      <c r="R206" s="24">
        <f t="shared" si="79"/>
        <v>50000</v>
      </c>
      <c r="S206" s="211">
        <f t="shared" si="67"/>
      </c>
      <c r="T206" s="39"/>
      <c r="AB206" s="136">
        <f t="shared" si="70"/>
      </c>
      <c r="AC206" s="136">
        <f t="shared" si="71"/>
      </c>
      <c r="AD206" s="136">
        <f t="shared" si="72"/>
      </c>
    </row>
    <row r="207" spans="6:30" ht="16.5" customHeight="1">
      <c r="F207" s="210">
        <f t="shared" si="73"/>
        <v>202</v>
      </c>
      <c r="G207" s="28">
        <f t="shared" si="68"/>
      </c>
      <c r="H207" s="29">
        <f t="shared" si="66"/>
      </c>
      <c r="I207" s="22">
        <f t="shared" si="80"/>
      </c>
      <c r="J207" s="30">
        <f t="shared" si="74"/>
      </c>
      <c r="K207" s="23">
        <f t="shared" si="81"/>
      </c>
      <c r="L207" s="29">
        <f t="shared" si="75"/>
      </c>
      <c r="M207" s="22">
        <f t="shared" si="76"/>
      </c>
      <c r="N207" s="23">
        <f t="shared" si="82"/>
      </c>
      <c r="O207" s="29">
        <f t="shared" si="69"/>
        <v>50040</v>
      </c>
      <c r="P207" s="22">
        <f t="shared" si="77"/>
        <v>50000</v>
      </c>
      <c r="Q207" s="23">
        <f t="shared" si="78"/>
      </c>
      <c r="R207" s="24">
        <f t="shared" si="79"/>
        <v>50000</v>
      </c>
      <c r="S207" s="211">
        <f t="shared" si="67"/>
      </c>
      <c r="T207" s="39"/>
      <c r="AB207" s="136">
        <f t="shared" si="70"/>
      </c>
      <c r="AC207" s="136">
        <f t="shared" si="71"/>
      </c>
      <c r="AD207" s="136">
        <f t="shared" si="72"/>
      </c>
    </row>
    <row r="208" spans="6:30" ht="16.5" customHeight="1">
      <c r="F208" s="210">
        <f t="shared" si="73"/>
        <v>203</v>
      </c>
      <c r="G208" s="28">
        <f t="shared" si="68"/>
      </c>
      <c r="H208" s="29">
        <f t="shared" si="66"/>
      </c>
      <c r="I208" s="22">
        <f t="shared" si="80"/>
      </c>
      <c r="J208" s="30">
        <f t="shared" si="74"/>
      </c>
      <c r="K208" s="23">
        <f t="shared" si="81"/>
      </c>
      <c r="L208" s="29">
        <f t="shared" si="75"/>
      </c>
      <c r="M208" s="22">
        <f t="shared" si="76"/>
      </c>
      <c r="N208" s="23">
        <f t="shared" si="82"/>
      </c>
      <c r="O208" s="29">
        <f t="shared" si="69"/>
        <v>50071</v>
      </c>
      <c r="P208" s="22">
        <f t="shared" si="77"/>
        <v>50000</v>
      </c>
      <c r="Q208" s="23">
        <f t="shared" si="78"/>
      </c>
      <c r="R208" s="24">
        <f t="shared" si="79"/>
        <v>50000</v>
      </c>
      <c r="S208" s="211">
        <f t="shared" si="67"/>
      </c>
      <c r="T208" s="39"/>
      <c r="AB208" s="136">
        <f t="shared" si="70"/>
      </c>
      <c r="AC208" s="136">
        <f t="shared" si="71"/>
      </c>
      <c r="AD208" s="136">
        <f t="shared" si="72"/>
      </c>
    </row>
    <row r="209" spans="6:30" ht="16.5" customHeight="1">
      <c r="F209" s="210">
        <f t="shared" si="73"/>
        <v>204</v>
      </c>
      <c r="G209" s="28">
        <f t="shared" si="68"/>
      </c>
      <c r="H209" s="29">
        <f t="shared" si="66"/>
      </c>
      <c r="I209" s="22">
        <f t="shared" si="80"/>
      </c>
      <c r="J209" s="30">
        <f t="shared" si="74"/>
      </c>
      <c r="K209" s="23">
        <f t="shared" si="81"/>
      </c>
      <c r="L209" s="29">
        <f t="shared" si="75"/>
      </c>
      <c r="M209" s="22">
        <f t="shared" si="76"/>
      </c>
      <c r="N209" s="23">
        <f t="shared" si="82"/>
      </c>
      <c r="O209" s="29">
        <f t="shared" si="69"/>
        <v>50099</v>
      </c>
      <c r="P209" s="22">
        <f t="shared" si="77"/>
        <v>50000</v>
      </c>
      <c r="Q209" s="23">
        <f t="shared" si="78"/>
      </c>
      <c r="R209" s="24">
        <f t="shared" si="79"/>
        <v>50000</v>
      </c>
      <c r="S209" s="211">
        <f t="shared" si="67"/>
      </c>
      <c r="T209" s="39"/>
      <c r="AB209" s="136">
        <f t="shared" si="70"/>
      </c>
      <c r="AC209" s="136">
        <f t="shared" si="71"/>
      </c>
      <c r="AD209" s="136">
        <f t="shared" si="72"/>
      </c>
    </row>
    <row r="210" spans="6:30" ht="16.5" customHeight="1">
      <c r="F210" s="210">
        <f t="shared" si="73"/>
        <v>205</v>
      </c>
      <c r="G210" s="28">
        <f t="shared" si="68"/>
      </c>
      <c r="H210" s="29">
        <f t="shared" si="66"/>
      </c>
      <c r="I210" s="22">
        <f t="shared" si="80"/>
      </c>
      <c r="J210" s="30">
        <f t="shared" si="74"/>
      </c>
      <c r="K210" s="23">
        <f t="shared" si="81"/>
      </c>
      <c r="L210" s="29">
        <f t="shared" si="75"/>
      </c>
      <c r="M210" s="22">
        <f t="shared" si="76"/>
      </c>
      <c r="N210" s="23">
        <f t="shared" si="82"/>
      </c>
      <c r="O210" s="29">
        <f t="shared" si="69"/>
        <v>50130</v>
      </c>
      <c r="P210" s="22">
        <f t="shared" si="77"/>
        <v>50000</v>
      </c>
      <c r="Q210" s="23">
        <f t="shared" si="78"/>
      </c>
      <c r="R210" s="24">
        <f t="shared" si="79"/>
        <v>50000</v>
      </c>
      <c r="S210" s="211">
        <f t="shared" si="67"/>
      </c>
      <c r="T210" s="39"/>
      <c r="AB210" s="136">
        <f t="shared" si="70"/>
      </c>
      <c r="AC210" s="136">
        <f t="shared" si="71"/>
      </c>
      <c r="AD210" s="136">
        <f t="shared" si="72"/>
      </c>
    </row>
    <row r="211" spans="6:30" ht="16.5" customHeight="1">
      <c r="F211" s="210">
        <f t="shared" si="73"/>
        <v>206</v>
      </c>
      <c r="G211" s="28">
        <f t="shared" si="68"/>
      </c>
      <c r="H211" s="29">
        <f t="shared" si="66"/>
      </c>
      <c r="I211" s="22">
        <f t="shared" si="80"/>
      </c>
      <c r="J211" s="30">
        <f t="shared" si="74"/>
      </c>
      <c r="K211" s="23">
        <f t="shared" si="81"/>
      </c>
      <c r="L211" s="29">
        <f t="shared" si="75"/>
      </c>
      <c r="M211" s="22">
        <f t="shared" si="76"/>
      </c>
      <c r="N211" s="23">
        <f t="shared" si="82"/>
      </c>
      <c r="O211" s="29">
        <f t="shared" si="69"/>
        <v>50160</v>
      </c>
      <c r="P211" s="22">
        <f t="shared" si="77"/>
        <v>50000</v>
      </c>
      <c r="Q211" s="23">
        <f t="shared" si="78"/>
      </c>
      <c r="R211" s="24">
        <f t="shared" si="79"/>
        <v>50000</v>
      </c>
      <c r="S211" s="211">
        <f t="shared" si="67"/>
      </c>
      <c r="T211" s="39"/>
      <c r="AB211" s="136">
        <f t="shared" si="70"/>
      </c>
      <c r="AC211" s="136">
        <f t="shared" si="71"/>
      </c>
      <c r="AD211" s="136">
        <f t="shared" si="72"/>
      </c>
    </row>
    <row r="212" spans="6:30" ht="16.5" customHeight="1">
      <c r="F212" s="210">
        <f t="shared" si="73"/>
        <v>207</v>
      </c>
      <c r="G212" s="28">
        <f t="shared" si="68"/>
      </c>
      <c r="H212" s="29">
        <f t="shared" si="66"/>
      </c>
      <c r="I212" s="22">
        <f t="shared" si="80"/>
      </c>
      <c r="J212" s="30">
        <f t="shared" si="74"/>
      </c>
      <c r="K212" s="23">
        <f t="shared" si="81"/>
      </c>
      <c r="L212" s="29">
        <f t="shared" si="75"/>
      </c>
      <c r="M212" s="22">
        <f t="shared" si="76"/>
      </c>
      <c r="N212" s="23">
        <f t="shared" si="82"/>
      </c>
      <c r="O212" s="29">
        <f t="shared" si="69"/>
        <v>50191</v>
      </c>
      <c r="P212" s="22">
        <f t="shared" si="77"/>
        <v>50000</v>
      </c>
      <c r="Q212" s="23">
        <f t="shared" si="78"/>
      </c>
      <c r="R212" s="24">
        <f t="shared" si="79"/>
        <v>50000</v>
      </c>
      <c r="S212" s="211">
        <f t="shared" si="67"/>
      </c>
      <c r="T212" s="39"/>
      <c r="AB212" s="136">
        <f t="shared" si="70"/>
      </c>
      <c r="AC212" s="136">
        <f t="shared" si="71"/>
      </c>
      <c r="AD212" s="136">
        <f t="shared" si="72"/>
      </c>
    </row>
    <row r="213" spans="6:30" ht="16.5" customHeight="1">
      <c r="F213" s="210">
        <f t="shared" si="73"/>
        <v>208</v>
      </c>
      <c r="G213" s="28">
        <f t="shared" si="68"/>
      </c>
      <c r="H213" s="29">
        <f t="shared" si="66"/>
      </c>
      <c r="I213" s="22">
        <f t="shared" si="80"/>
      </c>
      <c r="J213" s="30">
        <f t="shared" si="74"/>
      </c>
      <c r="K213" s="23">
        <f t="shared" si="81"/>
      </c>
      <c r="L213" s="29">
        <f t="shared" si="75"/>
      </c>
      <c r="M213" s="22">
        <f t="shared" si="76"/>
      </c>
      <c r="N213" s="23">
        <f t="shared" si="82"/>
      </c>
      <c r="O213" s="29">
        <f t="shared" si="69"/>
        <v>50221</v>
      </c>
      <c r="P213" s="22">
        <f t="shared" si="77"/>
        <v>50000</v>
      </c>
      <c r="Q213" s="23">
        <f t="shared" si="78"/>
      </c>
      <c r="R213" s="24">
        <f t="shared" si="79"/>
        <v>50000</v>
      </c>
      <c r="S213" s="211">
        <f t="shared" si="67"/>
      </c>
      <c r="T213" s="39"/>
      <c r="AB213" s="136">
        <f t="shared" si="70"/>
      </c>
      <c r="AC213" s="136">
        <f t="shared" si="71"/>
      </c>
      <c r="AD213" s="136">
        <f t="shared" si="72"/>
      </c>
    </row>
    <row r="214" spans="6:30" ht="16.5" customHeight="1">
      <c r="F214" s="210">
        <f t="shared" si="73"/>
        <v>209</v>
      </c>
      <c r="G214" s="28">
        <f t="shared" si="68"/>
      </c>
      <c r="H214" s="29">
        <f t="shared" si="66"/>
      </c>
      <c r="I214" s="22">
        <f t="shared" si="80"/>
      </c>
      <c r="J214" s="30">
        <f t="shared" si="74"/>
      </c>
      <c r="K214" s="23">
        <f t="shared" si="81"/>
      </c>
      <c r="L214" s="29">
        <f t="shared" si="75"/>
      </c>
      <c r="M214" s="22">
        <f t="shared" si="76"/>
      </c>
      <c r="N214" s="23">
        <f t="shared" si="82"/>
      </c>
      <c r="O214" s="29">
        <f t="shared" si="69"/>
        <v>50252</v>
      </c>
      <c r="P214" s="22">
        <f t="shared" si="77"/>
        <v>50000</v>
      </c>
      <c r="Q214" s="23">
        <f t="shared" si="78"/>
      </c>
      <c r="R214" s="24">
        <f t="shared" si="79"/>
        <v>50000</v>
      </c>
      <c r="S214" s="211">
        <f t="shared" si="67"/>
      </c>
      <c r="T214" s="39"/>
      <c r="AB214" s="136">
        <f t="shared" si="70"/>
      </c>
      <c r="AC214" s="136">
        <f t="shared" si="71"/>
      </c>
      <c r="AD214" s="136">
        <f t="shared" si="72"/>
      </c>
    </row>
    <row r="215" spans="6:30" ht="16.5" customHeight="1">
      <c r="F215" s="210">
        <f t="shared" si="73"/>
        <v>210</v>
      </c>
      <c r="G215" s="28">
        <f t="shared" si="68"/>
      </c>
      <c r="H215" s="29">
        <f t="shared" si="66"/>
      </c>
      <c r="I215" s="22">
        <f t="shared" si="80"/>
      </c>
      <c r="J215" s="30">
        <f t="shared" si="74"/>
      </c>
      <c r="K215" s="23">
        <f t="shared" si="81"/>
      </c>
      <c r="L215" s="29">
        <f t="shared" si="75"/>
      </c>
      <c r="M215" s="22">
        <f t="shared" si="76"/>
      </c>
      <c r="N215" s="23">
        <f t="shared" si="82"/>
      </c>
      <c r="O215" s="29">
        <f t="shared" si="69"/>
        <v>50283</v>
      </c>
      <c r="P215" s="22">
        <f t="shared" si="77"/>
        <v>50000</v>
      </c>
      <c r="Q215" s="23">
        <f t="shared" si="78"/>
      </c>
      <c r="R215" s="24">
        <f t="shared" si="79"/>
        <v>50000</v>
      </c>
      <c r="S215" s="211">
        <f t="shared" si="67"/>
      </c>
      <c r="T215" s="39"/>
      <c r="AB215" s="136">
        <f t="shared" si="70"/>
      </c>
      <c r="AC215" s="136">
        <f t="shared" si="71"/>
      </c>
      <c r="AD215" s="136">
        <f t="shared" si="72"/>
      </c>
    </row>
    <row r="216" spans="6:30" ht="16.5" customHeight="1">
      <c r="F216" s="210">
        <f t="shared" si="73"/>
        <v>211</v>
      </c>
      <c r="G216" s="28">
        <f t="shared" si="68"/>
      </c>
      <c r="H216" s="29">
        <f t="shared" si="66"/>
      </c>
      <c r="I216" s="22">
        <f t="shared" si="80"/>
      </c>
      <c r="J216" s="30">
        <f t="shared" si="74"/>
      </c>
      <c r="K216" s="23">
        <f t="shared" si="81"/>
      </c>
      <c r="L216" s="29">
        <f t="shared" si="75"/>
      </c>
      <c r="M216" s="22">
        <f t="shared" si="76"/>
      </c>
      <c r="N216" s="23">
        <f t="shared" si="82"/>
      </c>
      <c r="O216" s="29">
        <f t="shared" si="69"/>
        <v>50313</v>
      </c>
      <c r="P216" s="22">
        <f t="shared" si="77"/>
        <v>50000</v>
      </c>
      <c r="Q216" s="23" t="str">
        <f t="shared" si="78"/>
        <v>19歳誕生月</v>
      </c>
      <c r="R216" s="24">
        <f t="shared" si="79"/>
        <v>50000</v>
      </c>
      <c r="S216" s="211">
        <f t="shared" si="67"/>
      </c>
      <c r="T216" s="39"/>
      <c r="AB216" s="136">
        <f t="shared" si="70"/>
      </c>
      <c r="AC216" s="136">
        <f t="shared" si="71"/>
      </c>
      <c r="AD216" s="136" t="str">
        <f t="shared" si="72"/>
        <v>19歳誕生月</v>
      </c>
    </row>
    <row r="217" spans="6:30" ht="16.5" customHeight="1">
      <c r="F217" s="210">
        <f t="shared" si="73"/>
        <v>212</v>
      </c>
      <c r="G217" s="28">
        <f t="shared" si="68"/>
      </c>
      <c r="H217" s="29">
        <f t="shared" si="66"/>
      </c>
      <c r="I217" s="22">
        <f t="shared" si="80"/>
      </c>
      <c r="J217" s="30">
        <f t="shared" si="74"/>
      </c>
      <c r="K217" s="23">
        <f t="shared" si="81"/>
      </c>
      <c r="L217" s="29">
        <f t="shared" si="75"/>
      </c>
      <c r="M217" s="22">
        <f t="shared" si="76"/>
      </c>
      <c r="N217" s="23">
        <f t="shared" si="82"/>
      </c>
      <c r="O217" s="29">
        <f t="shared" si="69"/>
        <v>50344</v>
      </c>
      <c r="P217" s="22">
        <f t="shared" si="77"/>
        <v>50000</v>
      </c>
      <c r="Q217" s="23">
        <f t="shared" si="78"/>
      </c>
      <c r="R217" s="24">
        <f t="shared" si="79"/>
        <v>50000</v>
      </c>
      <c r="S217" s="211">
        <f t="shared" si="67"/>
      </c>
      <c r="T217" s="39"/>
      <c r="AB217" s="136">
        <f t="shared" si="70"/>
      </c>
      <c r="AC217" s="136">
        <f t="shared" si="71"/>
      </c>
      <c r="AD217" s="136">
        <f t="shared" si="72"/>
      </c>
    </row>
    <row r="218" spans="6:30" ht="16.5" customHeight="1">
      <c r="F218" s="210">
        <f t="shared" si="73"/>
        <v>213</v>
      </c>
      <c r="G218" s="28">
        <f t="shared" si="68"/>
      </c>
      <c r="H218" s="29">
        <f t="shared" si="66"/>
      </c>
      <c r="I218" s="22">
        <f t="shared" si="80"/>
      </c>
      <c r="J218" s="30">
        <f t="shared" si="74"/>
      </c>
      <c r="K218" s="23">
        <f t="shared" si="81"/>
      </c>
      <c r="L218" s="29">
        <f t="shared" si="75"/>
      </c>
      <c r="M218" s="22">
        <f t="shared" si="76"/>
      </c>
      <c r="N218" s="23">
        <f t="shared" si="82"/>
      </c>
      <c r="O218" s="29">
        <f t="shared" si="69"/>
        <v>50374</v>
      </c>
      <c r="P218" s="22">
        <f t="shared" si="77"/>
        <v>50000</v>
      </c>
      <c r="Q218" s="23">
        <f t="shared" si="78"/>
      </c>
      <c r="R218" s="24">
        <f t="shared" si="79"/>
        <v>50000</v>
      </c>
      <c r="S218" s="211">
        <f t="shared" si="67"/>
      </c>
      <c r="T218" s="39"/>
      <c r="AB218" s="136">
        <f t="shared" si="70"/>
      </c>
      <c r="AC218" s="136">
        <f t="shared" si="71"/>
      </c>
      <c r="AD218" s="136">
        <f t="shared" si="72"/>
      </c>
    </row>
    <row r="219" spans="6:30" ht="16.5" customHeight="1">
      <c r="F219" s="210">
        <f t="shared" si="73"/>
        <v>214</v>
      </c>
      <c r="G219" s="28">
        <f t="shared" si="68"/>
      </c>
      <c r="H219" s="29">
        <f t="shared" si="66"/>
      </c>
      <c r="I219" s="22">
        <f t="shared" si="80"/>
      </c>
      <c r="J219" s="30">
        <f t="shared" si="74"/>
      </c>
      <c r="K219" s="23">
        <f t="shared" si="81"/>
      </c>
      <c r="L219" s="29">
        <f t="shared" si="75"/>
      </c>
      <c r="M219" s="22">
        <f t="shared" si="76"/>
      </c>
      <c r="N219" s="23">
        <f t="shared" si="82"/>
      </c>
      <c r="O219" s="29">
        <f t="shared" si="69"/>
        <v>50405</v>
      </c>
      <c r="P219" s="22">
        <f t="shared" si="77"/>
        <v>50000</v>
      </c>
      <c r="Q219" s="23">
        <f t="shared" si="78"/>
      </c>
      <c r="R219" s="24">
        <f t="shared" si="79"/>
        <v>50000</v>
      </c>
      <c r="S219" s="211">
        <f t="shared" si="67"/>
      </c>
      <c r="T219" s="39"/>
      <c r="AB219" s="136">
        <f t="shared" si="70"/>
      </c>
      <c r="AC219" s="136">
        <f t="shared" si="71"/>
      </c>
      <c r="AD219" s="136">
        <f t="shared" si="72"/>
      </c>
    </row>
    <row r="220" spans="6:30" ht="16.5" customHeight="1">
      <c r="F220" s="210">
        <f t="shared" si="73"/>
        <v>215</v>
      </c>
      <c r="G220" s="28">
        <f t="shared" si="68"/>
      </c>
      <c r="H220" s="29">
        <f t="shared" si="66"/>
      </c>
      <c r="I220" s="22">
        <f t="shared" si="80"/>
      </c>
      <c r="J220" s="30">
        <f t="shared" si="74"/>
      </c>
      <c r="K220" s="23">
        <f t="shared" si="81"/>
      </c>
      <c r="L220" s="29">
        <f t="shared" si="75"/>
      </c>
      <c r="M220" s="22">
        <f t="shared" si="76"/>
      </c>
      <c r="N220" s="23">
        <f t="shared" si="82"/>
      </c>
      <c r="O220" s="29">
        <f t="shared" si="69"/>
        <v>50436</v>
      </c>
      <c r="P220" s="22">
        <f t="shared" si="77"/>
        <v>50000</v>
      </c>
      <c r="Q220" s="23">
        <f t="shared" si="78"/>
      </c>
      <c r="R220" s="24">
        <f t="shared" si="79"/>
        <v>50000</v>
      </c>
      <c r="S220" s="211">
        <f t="shared" si="67"/>
      </c>
      <c r="T220" s="39"/>
      <c r="AB220" s="136">
        <f t="shared" si="70"/>
      </c>
      <c r="AC220" s="136">
        <f t="shared" si="71"/>
      </c>
      <c r="AD220" s="136">
        <f t="shared" si="72"/>
      </c>
    </row>
    <row r="221" spans="6:30" ht="16.5" customHeight="1">
      <c r="F221" s="210">
        <f t="shared" si="73"/>
        <v>216</v>
      </c>
      <c r="G221" s="28">
        <f t="shared" si="68"/>
      </c>
      <c r="H221" s="29">
        <f t="shared" si="66"/>
      </c>
      <c r="I221" s="22">
        <f t="shared" si="80"/>
      </c>
      <c r="J221" s="30">
        <f t="shared" si="74"/>
      </c>
      <c r="K221" s="23">
        <f t="shared" si="81"/>
      </c>
      <c r="L221" s="29">
        <f t="shared" si="75"/>
      </c>
      <c r="M221" s="22">
        <f t="shared" si="76"/>
      </c>
      <c r="N221" s="23">
        <f t="shared" si="82"/>
      </c>
      <c r="O221" s="29">
        <f t="shared" si="69"/>
        <v>50464</v>
      </c>
      <c r="P221" s="22">
        <f t="shared" si="77"/>
        <v>50000</v>
      </c>
      <c r="Q221" s="23">
        <f t="shared" si="78"/>
      </c>
      <c r="R221" s="24">
        <f t="shared" si="79"/>
        <v>50000</v>
      </c>
      <c r="S221" s="211">
        <f t="shared" si="67"/>
      </c>
      <c r="T221" s="39"/>
      <c r="AB221" s="136">
        <f t="shared" si="70"/>
      </c>
      <c r="AC221" s="136">
        <f t="shared" si="71"/>
      </c>
      <c r="AD221" s="136">
        <f t="shared" si="72"/>
      </c>
    </row>
    <row r="222" spans="6:30" ht="16.5" customHeight="1">
      <c r="F222" s="210">
        <f t="shared" si="73"/>
        <v>217</v>
      </c>
      <c r="G222" s="28">
        <f t="shared" si="68"/>
      </c>
      <c r="H222" s="29">
        <f t="shared" si="66"/>
      </c>
      <c r="I222" s="22">
        <f t="shared" si="80"/>
      </c>
      <c r="J222" s="30">
        <f t="shared" si="74"/>
      </c>
      <c r="K222" s="23">
        <f t="shared" si="81"/>
      </c>
      <c r="L222" s="29">
        <f t="shared" si="75"/>
      </c>
      <c r="M222" s="22">
        <f t="shared" si="76"/>
      </c>
      <c r="N222" s="23">
        <f t="shared" si="82"/>
      </c>
      <c r="O222" s="29">
        <f t="shared" si="69"/>
        <v>50495</v>
      </c>
      <c r="P222" s="22">
        <f t="shared" si="77"/>
        <v>50000</v>
      </c>
      <c r="Q222" s="23">
        <f t="shared" si="78"/>
      </c>
      <c r="R222" s="24">
        <f t="shared" si="79"/>
        <v>50000</v>
      </c>
      <c r="S222" s="211">
        <f t="shared" si="67"/>
      </c>
      <c r="T222" s="39"/>
      <c r="AB222" s="136">
        <f t="shared" si="70"/>
      </c>
      <c r="AC222" s="136">
        <f t="shared" si="71"/>
      </c>
      <c r="AD222" s="136">
        <f t="shared" si="72"/>
      </c>
    </row>
    <row r="223" spans="6:30" ht="16.5" customHeight="1">
      <c r="F223" s="210">
        <f t="shared" si="73"/>
        <v>218</v>
      </c>
      <c r="G223" s="28">
        <f t="shared" si="68"/>
      </c>
      <c r="H223" s="29">
        <f t="shared" si="66"/>
      </c>
      <c r="I223" s="22">
        <f t="shared" si="80"/>
      </c>
      <c r="J223" s="30">
        <f t="shared" si="74"/>
      </c>
      <c r="K223" s="23">
        <f t="shared" si="81"/>
      </c>
      <c r="L223" s="29">
        <f t="shared" si="75"/>
      </c>
      <c r="M223" s="22">
        <f t="shared" si="76"/>
      </c>
      <c r="N223" s="23">
        <f t="shared" si="82"/>
      </c>
      <c r="O223" s="29">
        <f t="shared" si="69"/>
        <v>50525</v>
      </c>
      <c r="P223" s="22">
        <f t="shared" si="77"/>
        <v>50000</v>
      </c>
      <c r="Q223" s="23">
        <f t="shared" si="78"/>
      </c>
      <c r="R223" s="24">
        <f t="shared" si="79"/>
        <v>50000</v>
      </c>
      <c r="S223" s="211">
        <f t="shared" si="67"/>
      </c>
      <c r="T223" s="39"/>
      <c r="AB223" s="136">
        <f t="shared" si="70"/>
      </c>
      <c r="AC223" s="136">
        <f t="shared" si="71"/>
      </c>
      <c r="AD223" s="136">
        <f t="shared" si="72"/>
      </c>
    </row>
    <row r="224" spans="6:30" ht="16.5" customHeight="1">
      <c r="F224" s="210">
        <f t="shared" si="73"/>
        <v>219</v>
      </c>
      <c r="G224" s="28">
        <f t="shared" si="68"/>
      </c>
      <c r="H224" s="29">
        <f t="shared" si="66"/>
      </c>
      <c r="I224" s="22">
        <f t="shared" si="80"/>
      </c>
      <c r="J224" s="30">
        <f t="shared" si="74"/>
      </c>
      <c r="K224" s="23">
        <f t="shared" si="81"/>
      </c>
      <c r="L224" s="29">
        <f t="shared" si="75"/>
      </c>
      <c r="M224" s="22">
        <f t="shared" si="76"/>
      </c>
      <c r="N224" s="23">
        <f t="shared" si="82"/>
      </c>
      <c r="O224" s="29">
        <f t="shared" si="69"/>
        <v>50556</v>
      </c>
      <c r="P224" s="22">
        <f t="shared" si="77"/>
        <v>50000</v>
      </c>
      <c r="Q224" s="23">
        <f t="shared" si="78"/>
      </c>
      <c r="R224" s="24">
        <f t="shared" si="79"/>
        <v>50000</v>
      </c>
      <c r="S224" s="211">
        <f t="shared" si="67"/>
      </c>
      <c r="T224" s="39"/>
      <c r="AB224" s="136">
        <f t="shared" si="70"/>
      </c>
      <c r="AC224" s="136">
        <f t="shared" si="71"/>
      </c>
      <c r="AD224" s="136">
        <f t="shared" si="72"/>
      </c>
    </row>
    <row r="225" spans="6:30" ht="16.5" customHeight="1">
      <c r="F225" s="210">
        <f t="shared" si="73"/>
        <v>220</v>
      </c>
      <c r="G225" s="28">
        <f t="shared" si="68"/>
      </c>
      <c r="H225" s="29">
        <f t="shared" si="66"/>
      </c>
      <c r="I225" s="22">
        <f t="shared" si="80"/>
      </c>
      <c r="J225" s="30">
        <f t="shared" si="74"/>
      </c>
      <c r="K225" s="23">
        <f t="shared" si="81"/>
      </c>
      <c r="L225" s="29">
        <f t="shared" si="75"/>
      </c>
      <c r="M225" s="22">
        <f t="shared" si="76"/>
      </c>
      <c r="N225" s="23">
        <f t="shared" si="82"/>
      </c>
      <c r="O225" s="29">
        <f t="shared" si="69"/>
        <v>50586</v>
      </c>
      <c r="P225" s="22">
        <f t="shared" si="77"/>
        <v>50000</v>
      </c>
      <c r="Q225" s="23">
        <f t="shared" si="78"/>
      </c>
      <c r="R225" s="24">
        <f t="shared" si="79"/>
        <v>50000</v>
      </c>
      <c r="S225" s="211">
        <f t="shared" si="67"/>
      </c>
      <c r="T225" s="39"/>
      <c r="AB225" s="136">
        <f t="shared" si="70"/>
      </c>
      <c r="AC225" s="136">
        <f t="shared" si="71"/>
      </c>
      <c r="AD225" s="136">
        <f t="shared" si="72"/>
      </c>
    </row>
    <row r="226" spans="6:30" ht="16.5" customHeight="1">
      <c r="F226" s="210">
        <f t="shared" si="73"/>
        <v>221</v>
      </c>
      <c r="G226" s="28">
        <f t="shared" si="68"/>
      </c>
      <c r="H226" s="29">
        <f t="shared" si="66"/>
      </c>
      <c r="I226" s="22">
        <f t="shared" si="80"/>
      </c>
      <c r="J226" s="30">
        <f t="shared" si="74"/>
      </c>
      <c r="K226" s="23">
        <f t="shared" si="81"/>
      </c>
      <c r="L226" s="29">
        <f t="shared" si="75"/>
      </c>
      <c r="M226" s="22">
        <f t="shared" si="76"/>
      </c>
      <c r="N226" s="23">
        <f t="shared" si="82"/>
      </c>
      <c r="O226" s="29">
        <f t="shared" si="69"/>
        <v>50617</v>
      </c>
      <c r="P226" s="22">
        <f t="shared" si="77"/>
        <v>50000</v>
      </c>
      <c r="Q226" s="23">
        <f t="shared" si="78"/>
      </c>
      <c r="R226" s="24">
        <f t="shared" si="79"/>
        <v>50000</v>
      </c>
      <c r="S226" s="211">
        <f t="shared" si="67"/>
      </c>
      <c r="T226" s="39"/>
      <c r="AB226" s="136">
        <f t="shared" si="70"/>
      </c>
      <c r="AC226" s="136">
        <f t="shared" si="71"/>
      </c>
      <c r="AD226" s="136">
        <f t="shared" si="72"/>
      </c>
    </row>
    <row r="227" spans="6:30" ht="16.5" customHeight="1">
      <c r="F227" s="210">
        <f t="shared" si="73"/>
        <v>222</v>
      </c>
      <c r="G227" s="28">
        <f t="shared" si="68"/>
      </c>
      <c r="H227" s="29">
        <f t="shared" si="66"/>
      </c>
      <c r="I227" s="22">
        <f t="shared" si="80"/>
      </c>
      <c r="J227" s="30">
        <f t="shared" si="74"/>
      </c>
      <c r="K227" s="23">
        <f t="shared" si="81"/>
      </c>
      <c r="L227" s="29">
        <f t="shared" si="75"/>
      </c>
      <c r="M227" s="22">
        <f t="shared" si="76"/>
      </c>
      <c r="N227" s="23">
        <f t="shared" si="82"/>
      </c>
      <c r="O227" s="29">
        <f t="shared" si="69"/>
        <v>50648</v>
      </c>
      <c r="P227" s="22">
        <f t="shared" si="77"/>
        <v>50000</v>
      </c>
      <c r="Q227" s="23">
        <f t="shared" si="78"/>
      </c>
      <c r="R227" s="24">
        <f t="shared" si="79"/>
        <v>50000</v>
      </c>
      <c r="S227" s="211">
        <f t="shared" si="67"/>
      </c>
      <c r="T227" s="39"/>
      <c r="AB227" s="136">
        <f t="shared" si="70"/>
      </c>
      <c r="AC227" s="136">
        <f t="shared" si="71"/>
      </c>
      <c r="AD227" s="136">
        <f t="shared" si="72"/>
      </c>
    </row>
    <row r="228" spans="6:30" ht="16.5" customHeight="1">
      <c r="F228" s="210">
        <f t="shared" si="73"/>
        <v>223</v>
      </c>
      <c r="G228" s="28">
        <f t="shared" si="68"/>
      </c>
      <c r="H228" s="29">
        <f t="shared" si="66"/>
      </c>
      <c r="I228" s="22">
        <f t="shared" si="80"/>
      </c>
      <c r="J228" s="30">
        <f t="shared" si="74"/>
      </c>
      <c r="K228" s="23">
        <f t="shared" si="81"/>
      </c>
      <c r="L228" s="29">
        <f t="shared" si="75"/>
      </c>
      <c r="M228" s="22">
        <f t="shared" si="76"/>
      </c>
      <c r="N228" s="23">
        <f t="shared" si="82"/>
      </c>
      <c r="O228" s="29">
        <f t="shared" si="69"/>
        <v>50678</v>
      </c>
      <c r="P228" s="22">
        <f t="shared" si="77"/>
        <v>50000</v>
      </c>
      <c r="Q228" s="23" t="str">
        <f t="shared" si="78"/>
        <v>20歳誕生月</v>
      </c>
      <c r="R228" s="24">
        <f t="shared" si="79"/>
        <v>50000</v>
      </c>
      <c r="S228" s="211">
        <f t="shared" si="67"/>
      </c>
      <c r="T228" s="39"/>
      <c r="AB228" s="136">
        <f t="shared" si="70"/>
      </c>
      <c r="AC228" s="136">
        <f t="shared" si="71"/>
      </c>
      <c r="AD228" s="136" t="str">
        <f t="shared" si="72"/>
        <v>20歳誕生月</v>
      </c>
    </row>
    <row r="229" spans="6:30" ht="16.5" customHeight="1">
      <c r="F229" s="210">
        <f t="shared" si="73"/>
        <v>224</v>
      </c>
      <c r="G229" s="28">
        <f t="shared" si="68"/>
      </c>
      <c r="H229" s="29">
        <f t="shared" si="66"/>
      </c>
      <c r="I229" s="22">
        <f t="shared" si="80"/>
      </c>
      <c r="J229" s="30">
        <f t="shared" si="74"/>
      </c>
      <c r="K229" s="23">
        <f t="shared" si="81"/>
      </c>
      <c r="L229" s="29">
        <f t="shared" si="75"/>
      </c>
      <c r="M229" s="22">
        <f t="shared" si="76"/>
      </c>
      <c r="N229" s="23">
        <f t="shared" si="82"/>
      </c>
      <c r="O229" s="29">
        <f>IF(O228="","",IF(DATE(YEAR(D$43),MONTH(D$43)+1,DAY(0))&lt;=DATE(YEAR(O228),MONTH(O228)+1,DAY(0)),"",IF($D$41="末",DATE(YEAR(O228),MONTH(O228)+2,DAY(0)),DATE(YEAR(O228),MONTH(O228)+1,DAY(O228)))))</f>
      </c>
      <c r="P229" s="22">
        <f t="shared" si="77"/>
      </c>
      <c r="Q229" s="23">
        <f t="shared" si="78"/>
      </c>
      <c r="R229" s="24">
        <f t="shared" si="79"/>
        <v>0</v>
      </c>
      <c r="S229" s="211">
        <f t="shared" si="67"/>
      </c>
      <c r="T229" s="39"/>
      <c r="AB229" s="136">
        <f t="shared" si="70"/>
      </c>
      <c r="AC229" s="136">
        <f t="shared" si="71"/>
      </c>
      <c r="AD229" s="136">
        <f t="shared" si="72"/>
      </c>
    </row>
    <row r="230" spans="6:30" ht="16.5" customHeight="1">
      <c r="F230" s="210">
        <f t="shared" si="73"/>
        <v>225</v>
      </c>
      <c r="G230" s="28">
        <f t="shared" si="68"/>
      </c>
      <c r="H230" s="29">
        <f t="shared" si="66"/>
      </c>
      <c r="I230" s="22">
        <f t="shared" si="80"/>
      </c>
      <c r="J230" s="30">
        <f t="shared" si="74"/>
      </c>
      <c r="K230" s="23">
        <f t="shared" si="81"/>
      </c>
      <c r="L230" s="29">
        <f t="shared" si="75"/>
      </c>
      <c r="M230" s="22">
        <f t="shared" si="76"/>
      </c>
      <c r="N230" s="23">
        <f t="shared" si="82"/>
      </c>
      <c r="O230" s="29">
        <f aca="true" t="shared" si="83" ref="O230:O293">IF(O229="","",IF(DATE(YEAR(D$43),MONTH(D$43)+1,DAY(0))&lt;=DATE(YEAR(O229),MONTH(O229)+1,DAY(0)),"",IF($D$41="末",DATE(YEAR(O229),MONTH(O229)+2,DAY(0)),DATE(YEAR(O229),MONTH(O229)+1,DAY(O229)))))</f>
      </c>
      <c r="P230" s="22">
        <f t="shared" si="77"/>
      </c>
      <c r="Q230" s="23">
        <f t="shared" si="78"/>
      </c>
      <c r="R230" s="24">
        <f t="shared" si="79"/>
        <v>0</v>
      </c>
      <c r="S230" s="211">
        <f t="shared" si="67"/>
      </c>
      <c r="T230" s="39"/>
      <c r="AB230" s="136">
        <f t="shared" si="70"/>
      </c>
      <c r="AC230" s="136">
        <f t="shared" si="71"/>
      </c>
      <c r="AD230" s="136">
        <f t="shared" si="72"/>
      </c>
    </row>
    <row r="231" spans="6:30" ht="16.5" customHeight="1">
      <c r="F231" s="210">
        <f t="shared" si="73"/>
        <v>226</v>
      </c>
      <c r="G231" s="28">
        <f t="shared" si="68"/>
      </c>
      <c r="H231" s="29">
        <f t="shared" si="66"/>
      </c>
      <c r="I231" s="22">
        <f t="shared" si="80"/>
      </c>
      <c r="J231" s="30">
        <f t="shared" si="74"/>
      </c>
      <c r="K231" s="23">
        <f t="shared" si="81"/>
      </c>
      <c r="L231" s="29">
        <f t="shared" si="75"/>
      </c>
      <c r="M231" s="22">
        <f t="shared" si="76"/>
      </c>
      <c r="N231" s="23">
        <f t="shared" si="82"/>
      </c>
      <c r="O231" s="29">
        <f t="shared" si="83"/>
      </c>
      <c r="P231" s="22">
        <f t="shared" si="77"/>
      </c>
      <c r="Q231" s="23">
        <f t="shared" si="78"/>
      </c>
      <c r="R231" s="24">
        <f t="shared" si="79"/>
        <v>0</v>
      </c>
      <c r="S231" s="211">
        <f t="shared" si="67"/>
      </c>
      <c r="T231" s="39"/>
      <c r="AB231" s="136">
        <f t="shared" si="70"/>
      </c>
      <c r="AC231" s="136">
        <f t="shared" si="71"/>
      </c>
      <c r="AD231" s="136">
        <f t="shared" si="72"/>
      </c>
    </row>
    <row r="232" spans="6:30" ht="16.5" customHeight="1">
      <c r="F232" s="210">
        <f t="shared" si="73"/>
        <v>227</v>
      </c>
      <c r="G232" s="28">
        <f t="shared" si="68"/>
      </c>
      <c r="H232" s="29">
        <f t="shared" si="66"/>
      </c>
      <c r="I232" s="22">
        <f t="shared" si="80"/>
      </c>
      <c r="J232" s="30">
        <f t="shared" si="74"/>
      </c>
      <c r="K232" s="23">
        <f t="shared" si="81"/>
      </c>
      <c r="L232" s="29">
        <f t="shared" si="75"/>
      </c>
      <c r="M232" s="22">
        <f t="shared" si="76"/>
      </c>
      <c r="N232" s="23">
        <f t="shared" si="82"/>
      </c>
      <c r="O232" s="29">
        <f t="shared" si="83"/>
      </c>
      <c r="P232" s="22">
        <f t="shared" si="77"/>
      </c>
      <c r="Q232" s="23">
        <f t="shared" si="78"/>
      </c>
      <c r="R232" s="24">
        <f t="shared" si="79"/>
        <v>0</v>
      </c>
      <c r="S232" s="211">
        <f t="shared" si="67"/>
      </c>
      <c r="T232" s="39"/>
      <c r="AB232" s="136">
        <f t="shared" si="70"/>
      </c>
      <c r="AC232" s="136">
        <f t="shared" si="71"/>
      </c>
      <c r="AD232" s="136">
        <f t="shared" si="72"/>
      </c>
    </row>
    <row r="233" spans="6:30" ht="16.5" customHeight="1">
      <c r="F233" s="210">
        <f t="shared" si="73"/>
        <v>228</v>
      </c>
      <c r="G233" s="28">
        <f t="shared" si="68"/>
      </c>
      <c r="H233" s="29">
        <f t="shared" si="66"/>
      </c>
      <c r="I233" s="22">
        <f t="shared" si="80"/>
      </c>
      <c r="J233" s="30">
        <f t="shared" si="74"/>
      </c>
      <c r="K233" s="23">
        <f t="shared" si="81"/>
      </c>
      <c r="L233" s="29">
        <f t="shared" si="75"/>
      </c>
      <c r="M233" s="22">
        <f t="shared" si="76"/>
      </c>
      <c r="N233" s="23">
        <f t="shared" si="82"/>
      </c>
      <c r="O233" s="29">
        <f t="shared" si="83"/>
      </c>
      <c r="P233" s="22">
        <f t="shared" si="77"/>
      </c>
      <c r="Q233" s="23">
        <f t="shared" si="78"/>
      </c>
      <c r="R233" s="24">
        <f t="shared" si="79"/>
        <v>0</v>
      </c>
      <c r="S233" s="211">
        <f t="shared" si="67"/>
      </c>
      <c r="T233" s="39"/>
      <c r="AB233" s="136">
        <f t="shared" si="70"/>
      </c>
      <c r="AC233" s="136">
        <f t="shared" si="71"/>
      </c>
      <c r="AD233" s="136">
        <f t="shared" si="72"/>
      </c>
    </row>
    <row r="234" spans="6:30" ht="16.5" customHeight="1">
      <c r="F234" s="210">
        <f t="shared" si="73"/>
        <v>229</v>
      </c>
      <c r="G234" s="28">
        <f t="shared" si="68"/>
      </c>
      <c r="H234" s="29">
        <f t="shared" si="66"/>
      </c>
      <c r="I234" s="22">
        <f t="shared" si="80"/>
      </c>
      <c r="J234" s="30">
        <f t="shared" si="74"/>
      </c>
      <c r="K234" s="23">
        <f t="shared" si="81"/>
      </c>
      <c r="L234" s="29">
        <f t="shared" si="75"/>
      </c>
      <c r="M234" s="22">
        <f t="shared" si="76"/>
      </c>
      <c r="N234" s="23">
        <f t="shared" si="82"/>
      </c>
      <c r="O234" s="29">
        <f t="shared" si="83"/>
      </c>
      <c r="P234" s="22">
        <f t="shared" si="77"/>
      </c>
      <c r="Q234" s="23">
        <f t="shared" si="78"/>
      </c>
      <c r="R234" s="24">
        <f t="shared" si="79"/>
        <v>0</v>
      </c>
      <c r="S234" s="211">
        <f t="shared" si="67"/>
      </c>
      <c r="T234" s="39"/>
      <c r="AB234" s="136">
        <f t="shared" si="70"/>
      </c>
      <c r="AC234" s="136">
        <f t="shared" si="71"/>
      </c>
      <c r="AD234" s="136">
        <f t="shared" si="72"/>
      </c>
    </row>
    <row r="235" spans="6:30" ht="16.5" customHeight="1">
      <c r="F235" s="210">
        <f t="shared" si="73"/>
        <v>230</v>
      </c>
      <c r="G235" s="28">
        <f t="shared" si="68"/>
      </c>
      <c r="H235" s="29">
        <f t="shared" si="66"/>
      </c>
      <c r="I235" s="22">
        <f t="shared" si="80"/>
      </c>
      <c r="J235" s="30">
        <f t="shared" si="74"/>
      </c>
      <c r="K235" s="23">
        <f t="shared" si="81"/>
      </c>
      <c r="L235" s="29">
        <f t="shared" si="75"/>
      </c>
      <c r="M235" s="22">
        <f t="shared" si="76"/>
      </c>
      <c r="N235" s="23">
        <f t="shared" si="82"/>
      </c>
      <c r="O235" s="29">
        <f t="shared" si="83"/>
      </c>
      <c r="P235" s="22">
        <f t="shared" si="77"/>
      </c>
      <c r="Q235" s="23">
        <f t="shared" si="78"/>
      </c>
      <c r="R235" s="24">
        <f t="shared" si="79"/>
        <v>0</v>
      </c>
      <c r="S235" s="211">
        <f t="shared" si="67"/>
      </c>
      <c r="T235" s="39"/>
      <c r="AB235" s="136">
        <f t="shared" si="70"/>
      </c>
      <c r="AC235" s="136">
        <f t="shared" si="71"/>
      </c>
      <c r="AD235" s="136">
        <f t="shared" si="72"/>
      </c>
    </row>
    <row r="236" spans="6:30" ht="16.5" customHeight="1">
      <c r="F236" s="210">
        <f t="shared" si="73"/>
        <v>231</v>
      </c>
      <c r="G236" s="28">
        <f t="shared" si="68"/>
      </c>
      <c r="H236" s="29">
        <f t="shared" si="66"/>
      </c>
      <c r="I236" s="22">
        <f t="shared" si="80"/>
      </c>
      <c r="J236" s="30">
        <f t="shared" si="74"/>
      </c>
      <c r="K236" s="23">
        <f t="shared" si="81"/>
      </c>
      <c r="L236" s="29">
        <f t="shared" si="75"/>
      </c>
      <c r="M236" s="22">
        <f t="shared" si="76"/>
      </c>
      <c r="N236" s="23">
        <f t="shared" si="82"/>
      </c>
      <c r="O236" s="29">
        <f t="shared" si="83"/>
      </c>
      <c r="P236" s="22">
        <f t="shared" si="77"/>
      </c>
      <c r="Q236" s="23">
        <f t="shared" si="78"/>
      </c>
      <c r="R236" s="24">
        <f t="shared" si="79"/>
        <v>0</v>
      </c>
      <c r="S236" s="211">
        <f t="shared" si="67"/>
      </c>
      <c r="T236" s="39"/>
      <c r="AB236" s="136">
        <f t="shared" si="70"/>
      </c>
      <c r="AC236" s="136">
        <f t="shared" si="71"/>
      </c>
      <c r="AD236" s="136">
        <f t="shared" si="72"/>
      </c>
    </row>
    <row r="237" spans="6:30" ht="16.5" customHeight="1">
      <c r="F237" s="210">
        <f t="shared" si="73"/>
        <v>232</v>
      </c>
      <c r="G237" s="28">
        <f t="shared" si="68"/>
      </c>
      <c r="H237" s="29">
        <f t="shared" si="66"/>
      </c>
      <c r="I237" s="22">
        <f t="shared" si="80"/>
      </c>
      <c r="J237" s="30">
        <f t="shared" si="74"/>
      </c>
      <c r="K237" s="23">
        <f t="shared" si="81"/>
      </c>
      <c r="L237" s="29">
        <f t="shared" si="75"/>
      </c>
      <c r="M237" s="22">
        <f t="shared" si="76"/>
      </c>
      <c r="N237" s="23">
        <f t="shared" si="82"/>
      </c>
      <c r="O237" s="29">
        <f t="shared" si="83"/>
      </c>
      <c r="P237" s="22">
        <f t="shared" si="77"/>
      </c>
      <c r="Q237" s="23">
        <f t="shared" si="78"/>
      </c>
      <c r="R237" s="24">
        <f t="shared" si="79"/>
        <v>0</v>
      </c>
      <c r="S237" s="211">
        <f t="shared" si="67"/>
      </c>
      <c r="T237" s="39"/>
      <c r="AB237" s="136">
        <f t="shared" si="70"/>
      </c>
      <c r="AC237" s="136">
        <f t="shared" si="71"/>
      </c>
      <c r="AD237" s="136">
        <f t="shared" si="72"/>
      </c>
    </row>
    <row r="238" spans="6:30" ht="16.5" customHeight="1">
      <c r="F238" s="210">
        <f t="shared" si="73"/>
        <v>233</v>
      </c>
      <c r="G238" s="28">
        <f t="shared" si="68"/>
      </c>
      <c r="H238" s="29">
        <f t="shared" si="66"/>
      </c>
      <c r="I238" s="22">
        <f t="shared" si="80"/>
      </c>
      <c r="J238" s="30">
        <f t="shared" si="74"/>
      </c>
      <c r="K238" s="23">
        <f t="shared" si="81"/>
      </c>
      <c r="L238" s="29">
        <f t="shared" si="75"/>
      </c>
      <c r="M238" s="22">
        <f t="shared" si="76"/>
      </c>
      <c r="N238" s="23">
        <f t="shared" si="82"/>
      </c>
      <c r="O238" s="29">
        <f t="shared" si="83"/>
      </c>
      <c r="P238" s="22">
        <f t="shared" si="77"/>
      </c>
      <c r="Q238" s="23">
        <f t="shared" si="78"/>
      </c>
      <c r="R238" s="24">
        <f t="shared" si="79"/>
        <v>0</v>
      </c>
      <c r="S238" s="211">
        <f t="shared" si="67"/>
      </c>
      <c r="T238" s="39"/>
      <c r="AB238" s="136">
        <f t="shared" si="70"/>
      </c>
      <c r="AC238" s="136">
        <f t="shared" si="71"/>
      </c>
      <c r="AD238" s="136">
        <f t="shared" si="72"/>
      </c>
    </row>
    <row r="239" spans="6:30" ht="16.5" customHeight="1">
      <c r="F239" s="210">
        <f t="shared" si="73"/>
        <v>234</v>
      </c>
      <c r="G239" s="28">
        <f t="shared" si="68"/>
      </c>
      <c r="H239" s="29">
        <f t="shared" si="66"/>
      </c>
      <c r="I239" s="22">
        <f t="shared" si="80"/>
      </c>
      <c r="J239" s="30">
        <f t="shared" si="74"/>
      </c>
      <c r="K239" s="23">
        <f t="shared" si="81"/>
      </c>
      <c r="L239" s="29">
        <f t="shared" si="75"/>
      </c>
      <c r="M239" s="22">
        <f t="shared" si="76"/>
      </c>
      <c r="N239" s="23">
        <f t="shared" si="82"/>
      </c>
      <c r="O239" s="29">
        <f t="shared" si="83"/>
      </c>
      <c r="P239" s="22">
        <f t="shared" si="77"/>
      </c>
      <c r="Q239" s="23">
        <f t="shared" si="78"/>
      </c>
      <c r="R239" s="24">
        <f t="shared" si="79"/>
        <v>0</v>
      </c>
      <c r="S239" s="211">
        <f t="shared" si="67"/>
      </c>
      <c r="T239" s="39"/>
      <c r="AB239" s="136">
        <f t="shared" si="70"/>
      </c>
      <c r="AC239" s="136">
        <f t="shared" si="71"/>
      </c>
      <c r="AD239" s="136">
        <f t="shared" si="72"/>
      </c>
    </row>
    <row r="240" spans="6:30" ht="16.5" customHeight="1">
      <c r="F240" s="210">
        <f t="shared" si="73"/>
        <v>235</v>
      </c>
      <c r="G240" s="28">
        <f t="shared" si="68"/>
      </c>
      <c r="H240" s="29">
        <f t="shared" si="66"/>
      </c>
      <c r="I240" s="22">
        <f t="shared" si="80"/>
      </c>
      <c r="J240" s="30">
        <f t="shared" si="74"/>
      </c>
      <c r="K240" s="23">
        <f t="shared" si="81"/>
      </c>
      <c r="L240" s="29">
        <f t="shared" si="75"/>
      </c>
      <c r="M240" s="22">
        <f t="shared" si="76"/>
      </c>
      <c r="N240" s="23">
        <f t="shared" si="82"/>
      </c>
      <c r="O240" s="29">
        <f t="shared" si="83"/>
      </c>
      <c r="P240" s="22">
        <f t="shared" si="77"/>
      </c>
      <c r="Q240" s="23">
        <f t="shared" si="78"/>
      </c>
      <c r="R240" s="24">
        <f t="shared" si="79"/>
        <v>0</v>
      </c>
      <c r="S240" s="211">
        <f t="shared" si="67"/>
      </c>
      <c r="T240" s="39"/>
      <c r="AB240" s="136">
        <f t="shared" si="70"/>
      </c>
      <c r="AC240" s="136">
        <f t="shared" si="71"/>
      </c>
      <c r="AD240" s="136">
        <f t="shared" si="72"/>
      </c>
    </row>
    <row r="241" spans="6:30" ht="16.5" customHeight="1">
      <c r="F241" s="210">
        <f t="shared" si="73"/>
        <v>236</v>
      </c>
      <c r="G241" s="28">
        <f t="shared" si="68"/>
      </c>
      <c r="H241" s="29">
        <f t="shared" si="66"/>
      </c>
      <c r="I241" s="22">
        <f t="shared" si="80"/>
      </c>
      <c r="J241" s="30">
        <f t="shared" si="74"/>
      </c>
      <c r="K241" s="23">
        <f t="shared" si="81"/>
      </c>
      <c r="L241" s="29">
        <f t="shared" si="75"/>
      </c>
      <c r="M241" s="22">
        <f t="shared" si="76"/>
      </c>
      <c r="N241" s="23">
        <f t="shared" si="82"/>
      </c>
      <c r="O241" s="29">
        <f t="shared" si="83"/>
      </c>
      <c r="P241" s="22">
        <f t="shared" si="77"/>
      </c>
      <c r="Q241" s="23">
        <f t="shared" si="78"/>
      </c>
      <c r="R241" s="24">
        <f t="shared" si="79"/>
        <v>0</v>
      </c>
      <c r="S241" s="211">
        <f t="shared" si="67"/>
      </c>
      <c r="T241" s="39"/>
      <c r="AB241" s="136">
        <f t="shared" si="70"/>
      </c>
      <c r="AC241" s="136">
        <f t="shared" si="71"/>
      </c>
      <c r="AD241" s="136">
        <f t="shared" si="72"/>
      </c>
    </row>
    <row r="242" spans="6:30" ht="16.5" customHeight="1">
      <c r="F242" s="210">
        <f t="shared" si="73"/>
        <v>237</v>
      </c>
      <c r="G242" s="28">
        <f t="shared" si="68"/>
      </c>
      <c r="H242" s="29">
        <f t="shared" si="66"/>
      </c>
      <c r="I242" s="22">
        <f t="shared" si="80"/>
      </c>
      <c r="J242" s="30">
        <f t="shared" si="74"/>
      </c>
      <c r="K242" s="23">
        <f t="shared" si="81"/>
      </c>
      <c r="L242" s="29">
        <f t="shared" si="75"/>
      </c>
      <c r="M242" s="22">
        <f t="shared" si="76"/>
      </c>
      <c r="N242" s="23">
        <f t="shared" si="82"/>
      </c>
      <c r="O242" s="29">
        <f t="shared" si="83"/>
      </c>
      <c r="P242" s="22">
        <f t="shared" si="77"/>
      </c>
      <c r="Q242" s="23">
        <f t="shared" si="78"/>
      </c>
      <c r="R242" s="24">
        <f t="shared" si="79"/>
        <v>0</v>
      </c>
      <c r="S242" s="211">
        <f t="shared" si="67"/>
      </c>
      <c r="T242" s="39"/>
      <c r="AB242" s="136">
        <f t="shared" si="70"/>
      </c>
      <c r="AC242" s="136">
        <f t="shared" si="71"/>
      </c>
      <c r="AD242" s="136">
        <f t="shared" si="72"/>
      </c>
    </row>
    <row r="243" spans="6:30" ht="16.5" customHeight="1">
      <c r="F243" s="210">
        <f t="shared" si="73"/>
        <v>238</v>
      </c>
      <c r="G243" s="28">
        <f t="shared" si="68"/>
      </c>
      <c r="H243" s="29">
        <f t="shared" si="66"/>
      </c>
      <c r="I243" s="22">
        <f t="shared" si="80"/>
      </c>
      <c r="J243" s="30">
        <f t="shared" si="74"/>
      </c>
      <c r="K243" s="23">
        <f t="shared" si="81"/>
      </c>
      <c r="L243" s="29">
        <f t="shared" si="75"/>
      </c>
      <c r="M243" s="22">
        <f t="shared" si="76"/>
      </c>
      <c r="N243" s="23">
        <f t="shared" si="82"/>
      </c>
      <c r="O243" s="29">
        <f t="shared" si="83"/>
      </c>
      <c r="P243" s="22">
        <f t="shared" si="77"/>
      </c>
      <c r="Q243" s="23">
        <f t="shared" si="78"/>
      </c>
      <c r="R243" s="24">
        <f t="shared" si="79"/>
        <v>0</v>
      </c>
      <c r="S243" s="211">
        <f t="shared" si="67"/>
      </c>
      <c r="T243" s="39"/>
      <c r="AB243" s="136">
        <f t="shared" si="70"/>
      </c>
      <c r="AC243" s="136">
        <f t="shared" si="71"/>
      </c>
      <c r="AD243" s="136">
        <f t="shared" si="72"/>
      </c>
    </row>
    <row r="244" spans="6:30" ht="16.5" customHeight="1">
      <c r="F244" s="210">
        <f t="shared" si="73"/>
        <v>239</v>
      </c>
      <c r="G244" s="28">
        <f t="shared" si="68"/>
      </c>
      <c r="H244" s="29">
        <f t="shared" si="66"/>
      </c>
      <c r="I244" s="22">
        <f t="shared" si="80"/>
      </c>
      <c r="J244" s="30">
        <f t="shared" si="74"/>
      </c>
      <c r="K244" s="23">
        <f t="shared" si="81"/>
      </c>
      <c r="L244" s="29">
        <f t="shared" si="75"/>
      </c>
      <c r="M244" s="22">
        <f t="shared" si="76"/>
      </c>
      <c r="N244" s="23">
        <f t="shared" si="82"/>
      </c>
      <c r="O244" s="29">
        <f t="shared" si="83"/>
      </c>
      <c r="P244" s="22">
        <f t="shared" si="77"/>
      </c>
      <c r="Q244" s="23">
        <f t="shared" si="78"/>
      </c>
      <c r="R244" s="24">
        <f t="shared" si="79"/>
        <v>0</v>
      </c>
      <c r="S244" s="211">
        <f t="shared" si="67"/>
      </c>
      <c r="T244" s="39"/>
      <c r="AB244" s="136">
        <f t="shared" si="70"/>
      </c>
      <c r="AC244" s="136">
        <f t="shared" si="71"/>
      </c>
      <c r="AD244" s="136">
        <f t="shared" si="72"/>
      </c>
    </row>
    <row r="245" spans="6:30" ht="16.5" customHeight="1">
      <c r="F245" s="210">
        <f t="shared" si="73"/>
        <v>240</v>
      </c>
      <c r="G245" s="28">
        <f t="shared" si="68"/>
      </c>
      <c r="H245" s="29">
        <f t="shared" si="66"/>
      </c>
      <c r="I245" s="22">
        <f t="shared" si="80"/>
      </c>
      <c r="J245" s="30">
        <f t="shared" si="74"/>
      </c>
      <c r="K245" s="23">
        <f t="shared" si="81"/>
      </c>
      <c r="L245" s="29">
        <f t="shared" si="75"/>
      </c>
      <c r="M245" s="22">
        <f t="shared" si="76"/>
      </c>
      <c r="N245" s="23">
        <f t="shared" si="82"/>
      </c>
      <c r="O245" s="29">
        <f t="shared" si="83"/>
      </c>
      <c r="P245" s="22">
        <f t="shared" si="77"/>
      </c>
      <c r="Q245" s="23">
        <f t="shared" si="78"/>
      </c>
      <c r="R245" s="24">
        <f t="shared" si="79"/>
        <v>0</v>
      </c>
      <c r="S245" s="211">
        <f t="shared" si="67"/>
      </c>
      <c r="T245" s="39"/>
      <c r="AB245" s="136">
        <f t="shared" si="70"/>
      </c>
      <c r="AC245" s="136">
        <f t="shared" si="71"/>
      </c>
      <c r="AD245" s="136">
        <f t="shared" si="72"/>
      </c>
    </row>
    <row r="246" spans="6:30" ht="16.5" customHeight="1">
      <c r="F246" s="210">
        <f t="shared" si="73"/>
        <v>241</v>
      </c>
      <c r="G246" s="28">
        <f t="shared" si="68"/>
      </c>
      <c r="H246" s="29">
        <f t="shared" si="66"/>
      </c>
      <c r="I246" s="22">
        <f t="shared" si="80"/>
      </c>
      <c r="J246" s="30">
        <f t="shared" si="74"/>
      </c>
      <c r="K246" s="23">
        <f t="shared" si="81"/>
      </c>
      <c r="L246" s="29">
        <f t="shared" si="75"/>
      </c>
      <c r="M246" s="22">
        <f t="shared" si="76"/>
      </c>
      <c r="N246" s="23">
        <f t="shared" si="82"/>
      </c>
      <c r="O246" s="29">
        <f t="shared" si="83"/>
      </c>
      <c r="P246" s="22">
        <f t="shared" si="77"/>
      </c>
      <c r="Q246" s="23">
        <f t="shared" si="78"/>
      </c>
      <c r="R246" s="24">
        <f t="shared" si="79"/>
        <v>0</v>
      </c>
      <c r="S246" s="211">
        <f t="shared" si="67"/>
      </c>
      <c r="T246" s="39"/>
      <c r="AB246" s="136">
        <f t="shared" si="70"/>
      </c>
      <c r="AC246" s="136">
        <f t="shared" si="71"/>
      </c>
      <c r="AD246" s="136">
        <f t="shared" si="72"/>
      </c>
    </row>
    <row r="247" spans="6:30" ht="16.5" customHeight="1">
      <c r="F247" s="210">
        <f t="shared" si="73"/>
        <v>242</v>
      </c>
      <c r="G247" s="28">
        <f t="shared" si="68"/>
      </c>
      <c r="H247" s="29">
        <f aca="true" t="shared" si="84" ref="H247:H310">IF(H246="","",IF(G247&gt;DATE(YEAR(D$11),MONTH(D$11)+1,0),"",IF(DAY(G247)&lt;&gt;D$9,DATE(YEAR(G247),MONTH(G247)+1,0),G247)))</f>
      </c>
      <c r="I247" s="22">
        <f t="shared" si="80"/>
      </c>
      <c r="J247" s="30">
        <f t="shared" si="74"/>
      </c>
      <c r="K247" s="23">
        <f t="shared" si="81"/>
      </c>
      <c r="L247" s="29">
        <f t="shared" si="75"/>
      </c>
      <c r="M247" s="22">
        <f t="shared" si="76"/>
      </c>
      <c r="N247" s="23">
        <f t="shared" si="82"/>
      </c>
      <c r="O247" s="29">
        <f t="shared" si="83"/>
      </c>
      <c r="P247" s="22">
        <f t="shared" si="77"/>
      </c>
      <c r="Q247" s="23">
        <f t="shared" si="78"/>
      </c>
      <c r="R247" s="24">
        <f t="shared" si="79"/>
        <v>0</v>
      </c>
      <c r="S247" s="211">
        <f t="shared" si="67"/>
      </c>
      <c r="T247" s="39"/>
      <c r="AB247" s="136">
        <f t="shared" si="70"/>
      </c>
      <c r="AC247" s="136">
        <f t="shared" si="71"/>
      </c>
      <c r="AD247" s="136">
        <f t="shared" si="72"/>
      </c>
    </row>
    <row r="248" spans="6:30" ht="16.5" customHeight="1">
      <c r="F248" s="210">
        <f t="shared" si="73"/>
        <v>243</v>
      </c>
      <c r="G248" s="28">
        <f t="shared" si="68"/>
      </c>
      <c r="H248" s="29">
        <f t="shared" si="84"/>
      </c>
      <c r="I248" s="22">
        <f t="shared" si="80"/>
      </c>
      <c r="J248" s="30">
        <f t="shared" si="74"/>
      </c>
      <c r="K248" s="23">
        <f t="shared" si="81"/>
      </c>
      <c r="L248" s="29">
        <f t="shared" si="75"/>
      </c>
      <c r="M248" s="22">
        <f t="shared" si="76"/>
      </c>
      <c r="N248" s="23">
        <f t="shared" si="82"/>
      </c>
      <c r="O248" s="29">
        <f t="shared" si="83"/>
      </c>
      <c r="P248" s="22">
        <f t="shared" si="77"/>
      </c>
      <c r="Q248" s="23">
        <f t="shared" si="78"/>
      </c>
      <c r="R248" s="24">
        <f t="shared" si="79"/>
        <v>0</v>
      </c>
      <c r="S248" s="211">
        <f t="shared" si="67"/>
      </c>
      <c r="T248" s="39"/>
      <c r="AB248" s="136">
        <f t="shared" si="70"/>
      </c>
      <c r="AC248" s="136">
        <f t="shared" si="71"/>
      </c>
      <c r="AD248" s="136">
        <f t="shared" si="72"/>
      </c>
    </row>
    <row r="249" spans="6:30" ht="16.5" customHeight="1">
      <c r="F249" s="210">
        <f t="shared" si="73"/>
        <v>244</v>
      </c>
      <c r="G249" s="28">
        <f t="shared" si="68"/>
      </c>
      <c r="H249" s="29">
        <f t="shared" si="84"/>
      </c>
      <c r="I249" s="22">
        <f t="shared" si="80"/>
      </c>
      <c r="J249" s="30">
        <f t="shared" si="74"/>
      </c>
      <c r="K249" s="23">
        <f t="shared" si="81"/>
      </c>
      <c r="L249" s="29">
        <f t="shared" si="75"/>
      </c>
      <c r="M249" s="22">
        <f t="shared" si="76"/>
      </c>
      <c r="N249" s="23">
        <f t="shared" si="82"/>
      </c>
      <c r="O249" s="29">
        <f t="shared" si="83"/>
      </c>
      <c r="P249" s="22">
        <f t="shared" si="77"/>
      </c>
      <c r="Q249" s="23">
        <f t="shared" si="78"/>
      </c>
      <c r="R249" s="24">
        <f t="shared" si="79"/>
        <v>0</v>
      </c>
      <c r="S249" s="211">
        <f t="shared" si="67"/>
      </c>
      <c r="T249" s="39"/>
      <c r="AB249" s="136">
        <f t="shared" si="70"/>
      </c>
      <c r="AC249" s="136">
        <f t="shared" si="71"/>
      </c>
      <c r="AD249" s="136">
        <f t="shared" si="72"/>
      </c>
    </row>
    <row r="250" spans="6:30" ht="16.5" customHeight="1">
      <c r="F250" s="210">
        <f t="shared" si="73"/>
        <v>245</v>
      </c>
      <c r="G250" s="28">
        <f t="shared" si="68"/>
      </c>
      <c r="H250" s="29">
        <f t="shared" si="84"/>
      </c>
      <c r="I250" s="22">
        <f t="shared" si="80"/>
      </c>
      <c r="J250" s="30">
        <f t="shared" si="74"/>
      </c>
      <c r="K250" s="23">
        <f t="shared" si="81"/>
      </c>
      <c r="L250" s="29">
        <f t="shared" si="75"/>
      </c>
      <c r="M250" s="22">
        <f t="shared" si="76"/>
      </c>
      <c r="N250" s="23">
        <f t="shared" si="82"/>
      </c>
      <c r="O250" s="29">
        <f t="shared" si="83"/>
      </c>
      <c r="P250" s="22">
        <f t="shared" si="77"/>
      </c>
      <c r="Q250" s="23">
        <f t="shared" si="78"/>
      </c>
      <c r="R250" s="24">
        <f t="shared" si="79"/>
        <v>0</v>
      </c>
      <c r="S250" s="211">
        <f t="shared" si="67"/>
      </c>
      <c r="T250" s="39"/>
      <c r="AB250" s="136">
        <f t="shared" si="70"/>
      </c>
      <c r="AC250" s="136">
        <f t="shared" si="71"/>
      </c>
      <c r="AD250" s="136">
        <f t="shared" si="72"/>
      </c>
    </row>
    <row r="251" spans="6:30" ht="16.5" customHeight="1">
      <c r="F251" s="210">
        <f t="shared" si="73"/>
        <v>246</v>
      </c>
      <c r="G251" s="28">
        <f t="shared" si="68"/>
      </c>
      <c r="H251" s="29">
        <f t="shared" si="84"/>
      </c>
      <c r="I251" s="22">
        <f t="shared" si="80"/>
      </c>
      <c r="J251" s="30">
        <f t="shared" si="74"/>
      </c>
      <c r="K251" s="23">
        <f t="shared" si="81"/>
      </c>
      <c r="L251" s="29">
        <f t="shared" si="75"/>
      </c>
      <c r="M251" s="22">
        <f t="shared" si="76"/>
      </c>
      <c r="N251" s="23">
        <f t="shared" si="82"/>
      </c>
      <c r="O251" s="29">
        <f t="shared" si="83"/>
      </c>
      <c r="P251" s="22">
        <f t="shared" si="77"/>
      </c>
      <c r="Q251" s="23">
        <f t="shared" si="78"/>
      </c>
      <c r="R251" s="24">
        <f t="shared" si="79"/>
        <v>0</v>
      </c>
      <c r="S251" s="211">
        <f t="shared" si="67"/>
      </c>
      <c r="T251" s="39"/>
      <c r="AB251" s="136">
        <f t="shared" si="70"/>
      </c>
      <c r="AC251" s="136">
        <f t="shared" si="71"/>
      </c>
      <c r="AD251" s="136">
        <f t="shared" si="72"/>
      </c>
    </row>
    <row r="252" spans="6:30" ht="16.5" customHeight="1">
      <c r="F252" s="210">
        <f t="shared" si="73"/>
        <v>247</v>
      </c>
      <c r="G252" s="28">
        <f t="shared" si="68"/>
      </c>
      <c r="H252" s="29">
        <f t="shared" si="84"/>
      </c>
      <c r="I252" s="22">
        <f t="shared" si="80"/>
      </c>
      <c r="J252" s="30">
        <f t="shared" si="74"/>
      </c>
      <c r="K252" s="23">
        <f t="shared" si="81"/>
      </c>
      <c r="L252" s="29">
        <f t="shared" si="75"/>
      </c>
      <c r="M252" s="22">
        <f t="shared" si="76"/>
      </c>
      <c r="N252" s="23">
        <f t="shared" si="82"/>
      </c>
      <c r="O252" s="29">
        <f t="shared" si="83"/>
      </c>
      <c r="P252" s="22">
        <f t="shared" si="77"/>
      </c>
      <c r="Q252" s="23">
        <f t="shared" si="78"/>
      </c>
      <c r="R252" s="24">
        <f t="shared" si="79"/>
        <v>0</v>
      </c>
      <c r="S252" s="211">
        <f t="shared" si="67"/>
      </c>
      <c r="T252" s="39"/>
      <c r="AB252" s="136">
        <f t="shared" si="70"/>
      </c>
      <c r="AC252" s="136">
        <f t="shared" si="71"/>
      </c>
      <c r="AD252" s="136">
        <f t="shared" si="72"/>
      </c>
    </row>
    <row r="253" spans="6:30" ht="16.5" customHeight="1">
      <c r="F253" s="210">
        <f t="shared" si="73"/>
        <v>248</v>
      </c>
      <c r="G253" s="28">
        <f t="shared" si="68"/>
      </c>
      <c r="H253" s="29">
        <f t="shared" si="84"/>
      </c>
      <c r="I253" s="22">
        <f t="shared" si="80"/>
      </c>
      <c r="J253" s="30">
        <f t="shared" si="74"/>
      </c>
      <c r="K253" s="23">
        <f t="shared" si="81"/>
      </c>
      <c r="L253" s="29">
        <f t="shared" si="75"/>
      </c>
      <c r="M253" s="22">
        <f t="shared" si="76"/>
      </c>
      <c r="N253" s="23">
        <f t="shared" si="82"/>
      </c>
      <c r="O253" s="29">
        <f t="shared" si="83"/>
      </c>
      <c r="P253" s="22">
        <f t="shared" si="77"/>
      </c>
      <c r="Q253" s="23">
        <f t="shared" si="78"/>
      </c>
      <c r="R253" s="24">
        <f t="shared" si="79"/>
        <v>0</v>
      </c>
      <c r="S253" s="211">
        <f t="shared" si="67"/>
      </c>
      <c r="T253" s="39"/>
      <c r="AB253" s="136">
        <f t="shared" si="70"/>
      </c>
      <c r="AC253" s="136">
        <f t="shared" si="71"/>
      </c>
      <c r="AD253" s="136">
        <f t="shared" si="72"/>
      </c>
    </row>
    <row r="254" spans="6:30" ht="16.5" customHeight="1">
      <c r="F254" s="210">
        <f t="shared" si="73"/>
        <v>249</v>
      </c>
      <c r="G254" s="28">
        <f t="shared" si="68"/>
      </c>
      <c r="H254" s="29">
        <f t="shared" si="84"/>
      </c>
      <c r="I254" s="22">
        <f t="shared" si="80"/>
      </c>
      <c r="J254" s="30">
        <f t="shared" si="74"/>
      </c>
      <c r="K254" s="23">
        <f t="shared" si="81"/>
      </c>
      <c r="L254" s="29">
        <f t="shared" si="75"/>
      </c>
      <c r="M254" s="22">
        <f t="shared" si="76"/>
      </c>
      <c r="N254" s="23">
        <f t="shared" si="82"/>
      </c>
      <c r="O254" s="29">
        <f t="shared" si="83"/>
      </c>
      <c r="P254" s="22">
        <f t="shared" si="77"/>
      </c>
      <c r="Q254" s="23">
        <f t="shared" si="78"/>
      </c>
      <c r="R254" s="24">
        <f t="shared" si="79"/>
        <v>0</v>
      </c>
      <c r="S254" s="211">
        <f t="shared" si="67"/>
      </c>
      <c r="T254" s="39"/>
      <c r="AB254" s="136">
        <f t="shared" si="70"/>
      </c>
      <c r="AC254" s="136">
        <f t="shared" si="71"/>
      </c>
      <c r="AD254" s="136">
        <f t="shared" si="72"/>
      </c>
    </row>
    <row r="255" spans="6:30" ht="16.5" customHeight="1">
      <c r="F255" s="210">
        <f t="shared" si="73"/>
        <v>250</v>
      </c>
      <c r="G255" s="28">
        <f t="shared" si="68"/>
      </c>
      <c r="H255" s="29">
        <f t="shared" si="84"/>
      </c>
      <c r="I255" s="22">
        <f t="shared" si="80"/>
      </c>
      <c r="J255" s="30">
        <f t="shared" si="74"/>
      </c>
      <c r="K255" s="23">
        <f t="shared" si="81"/>
      </c>
      <c r="L255" s="29">
        <f t="shared" si="75"/>
      </c>
      <c r="M255" s="22">
        <f t="shared" si="76"/>
      </c>
      <c r="N255" s="23">
        <f t="shared" si="82"/>
      </c>
      <c r="O255" s="29">
        <f t="shared" si="83"/>
      </c>
      <c r="P255" s="22">
        <f t="shared" si="77"/>
      </c>
      <c r="Q255" s="23">
        <f t="shared" si="78"/>
      </c>
      <c r="R255" s="24">
        <f t="shared" si="79"/>
        <v>0</v>
      </c>
      <c r="S255" s="211">
        <f t="shared" si="67"/>
      </c>
      <c r="T255" s="39"/>
      <c r="AB255" s="136">
        <f t="shared" si="70"/>
      </c>
      <c r="AC255" s="136">
        <f t="shared" si="71"/>
      </c>
      <c r="AD255" s="136">
        <f t="shared" si="72"/>
      </c>
    </row>
    <row r="256" spans="6:30" ht="16.5" customHeight="1">
      <c r="F256" s="210">
        <f t="shared" si="73"/>
        <v>251</v>
      </c>
      <c r="G256" s="28">
        <f t="shared" si="68"/>
      </c>
      <c r="H256" s="29">
        <f t="shared" si="84"/>
      </c>
      <c r="I256" s="22">
        <f t="shared" si="80"/>
      </c>
      <c r="J256" s="30">
        <f t="shared" si="74"/>
      </c>
      <c r="K256" s="23">
        <f t="shared" si="81"/>
      </c>
      <c r="L256" s="29">
        <f t="shared" si="75"/>
      </c>
      <c r="M256" s="22">
        <f t="shared" si="76"/>
      </c>
      <c r="N256" s="23">
        <f t="shared" si="82"/>
      </c>
      <c r="O256" s="29">
        <f t="shared" si="83"/>
      </c>
      <c r="P256" s="22">
        <f t="shared" si="77"/>
      </c>
      <c r="Q256" s="23">
        <f t="shared" si="78"/>
      </c>
      <c r="R256" s="24">
        <f t="shared" si="79"/>
        <v>0</v>
      </c>
      <c r="S256" s="211">
        <f t="shared" si="67"/>
      </c>
      <c r="T256" s="39"/>
      <c r="AB256" s="136">
        <f t="shared" si="70"/>
      </c>
      <c r="AC256" s="136">
        <f t="shared" si="71"/>
      </c>
      <c r="AD256" s="136">
        <f t="shared" si="72"/>
      </c>
    </row>
    <row r="257" spans="6:30" ht="16.5" customHeight="1">
      <c r="F257" s="210">
        <f t="shared" si="73"/>
        <v>252</v>
      </c>
      <c r="G257" s="28">
        <f t="shared" si="68"/>
      </c>
      <c r="H257" s="29">
        <f t="shared" si="84"/>
      </c>
      <c r="I257" s="22">
        <f t="shared" si="80"/>
      </c>
      <c r="J257" s="30">
        <f t="shared" si="74"/>
      </c>
      <c r="K257" s="23">
        <f t="shared" si="81"/>
      </c>
      <c r="L257" s="29">
        <f t="shared" si="75"/>
      </c>
      <c r="M257" s="22">
        <f t="shared" si="76"/>
      </c>
      <c r="N257" s="23">
        <f t="shared" si="82"/>
      </c>
      <c r="O257" s="29">
        <f t="shared" si="83"/>
      </c>
      <c r="P257" s="22">
        <f t="shared" si="77"/>
      </c>
      <c r="Q257" s="23">
        <f t="shared" si="78"/>
      </c>
      <c r="R257" s="24">
        <f t="shared" si="79"/>
        <v>0</v>
      </c>
      <c r="S257" s="211">
        <f t="shared" si="67"/>
      </c>
      <c r="T257" s="39"/>
      <c r="AB257" s="136">
        <f t="shared" si="70"/>
      </c>
      <c r="AC257" s="136">
        <f t="shared" si="71"/>
      </c>
      <c r="AD257" s="136">
        <f t="shared" si="72"/>
      </c>
    </row>
    <row r="258" spans="6:30" ht="16.5" customHeight="1">
      <c r="F258" s="210">
        <f t="shared" si="73"/>
        <v>253</v>
      </c>
      <c r="G258" s="28">
        <f t="shared" si="68"/>
      </c>
      <c r="H258" s="29">
        <f t="shared" si="84"/>
      </c>
      <c r="I258" s="22">
        <f t="shared" si="80"/>
      </c>
      <c r="J258" s="30">
        <f t="shared" si="74"/>
      </c>
      <c r="K258" s="23">
        <f t="shared" si="81"/>
      </c>
      <c r="L258" s="29">
        <f t="shared" si="75"/>
      </c>
      <c r="M258" s="22">
        <f t="shared" si="76"/>
      </c>
      <c r="N258" s="23">
        <f t="shared" si="82"/>
      </c>
      <c r="O258" s="29">
        <f t="shared" si="83"/>
      </c>
      <c r="P258" s="22">
        <f t="shared" si="77"/>
      </c>
      <c r="Q258" s="23">
        <f t="shared" si="78"/>
      </c>
      <c r="R258" s="24">
        <f t="shared" si="79"/>
        <v>0</v>
      </c>
      <c r="S258" s="211">
        <f t="shared" si="67"/>
      </c>
      <c r="T258" s="39"/>
      <c r="AB258" s="136">
        <f t="shared" si="70"/>
      </c>
      <c r="AC258" s="136">
        <f t="shared" si="71"/>
      </c>
      <c r="AD258" s="136">
        <f t="shared" si="72"/>
      </c>
    </row>
    <row r="259" spans="6:30" ht="16.5" customHeight="1">
      <c r="F259" s="210">
        <f t="shared" si="73"/>
        <v>254</v>
      </c>
      <c r="G259" s="28">
        <f t="shared" si="68"/>
      </c>
      <c r="H259" s="29">
        <f t="shared" si="84"/>
      </c>
      <c r="I259" s="22">
        <f t="shared" si="80"/>
      </c>
      <c r="J259" s="30">
        <f t="shared" si="74"/>
      </c>
      <c r="K259" s="23">
        <f t="shared" si="81"/>
      </c>
      <c r="L259" s="29">
        <f t="shared" si="75"/>
      </c>
      <c r="M259" s="22">
        <f t="shared" si="76"/>
      </c>
      <c r="N259" s="23">
        <f t="shared" si="82"/>
      </c>
      <c r="O259" s="29">
        <f t="shared" si="83"/>
      </c>
      <c r="P259" s="22">
        <f t="shared" si="77"/>
      </c>
      <c r="Q259" s="23">
        <f t="shared" si="78"/>
      </c>
      <c r="R259" s="24">
        <f t="shared" si="79"/>
        <v>0</v>
      </c>
      <c r="S259" s="211">
        <f t="shared" si="67"/>
      </c>
      <c r="T259" s="39"/>
      <c r="AB259" s="136">
        <f t="shared" si="70"/>
      </c>
      <c r="AC259" s="136">
        <f t="shared" si="71"/>
      </c>
      <c r="AD259" s="136">
        <f t="shared" si="72"/>
      </c>
    </row>
    <row r="260" spans="6:30" ht="16.5" customHeight="1">
      <c r="F260" s="210">
        <f t="shared" si="73"/>
        <v>255</v>
      </c>
      <c r="G260" s="28">
        <f t="shared" si="68"/>
      </c>
      <c r="H260" s="29">
        <f t="shared" si="84"/>
      </c>
      <c r="I260" s="22">
        <f t="shared" si="80"/>
      </c>
      <c r="J260" s="30">
        <f t="shared" si="74"/>
      </c>
      <c r="K260" s="23">
        <f t="shared" si="81"/>
      </c>
      <c r="L260" s="29">
        <f t="shared" si="75"/>
      </c>
      <c r="M260" s="22">
        <f t="shared" si="76"/>
      </c>
      <c r="N260" s="23">
        <f t="shared" si="82"/>
      </c>
      <c r="O260" s="29">
        <f t="shared" si="83"/>
      </c>
      <c r="P260" s="22">
        <f t="shared" si="77"/>
      </c>
      <c r="Q260" s="23">
        <f t="shared" si="78"/>
      </c>
      <c r="R260" s="24">
        <f t="shared" si="79"/>
        <v>0</v>
      </c>
      <c r="S260" s="211">
        <f t="shared" si="67"/>
      </c>
      <c r="T260" s="39"/>
      <c r="AB260" s="136">
        <f t="shared" si="70"/>
      </c>
      <c r="AC260" s="136">
        <f t="shared" si="71"/>
      </c>
      <c r="AD260" s="136">
        <f t="shared" si="72"/>
      </c>
    </row>
    <row r="261" spans="6:30" ht="16.5" customHeight="1">
      <c r="F261" s="210">
        <f t="shared" si="73"/>
        <v>256</v>
      </c>
      <c r="G261" s="28">
        <f t="shared" si="68"/>
      </c>
      <c r="H261" s="29">
        <f t="shared" si="84"/>
      </c>
      <c r="I261" s="22">
        <f t="shared" si="80"/>
      </c>
      <c r="J261" s="30">
        <f t="shared" si="74"/>
      </c>
      <c r="K261" s="23">
        <f t="shared" si="81"/>
      </c>
      <c r="L261" s="29">
        <f t="shared" si="75"/>
      </c>
      <c r="M261" s="22">
        <f t="shared" si="76"/>
      </c>
      <c r="N261" s="23">
        <f t="shared" si="82"/>
      </c>
      <c r="O261" s="29">
        <f t="shared" si="83"/>
      </c>
      <c r="P261" s="22">
        <f t="shared" si="77"/>
      </c>
      <c r="Q261" s="23">
        <f t="shared" si="78"/>
      </c>
      <c r="R261" s="24">
        <f t="shared" si="79"/>
        <v>0</v>
      </c>
      <c r="S261" s="211">
        <f t="shared" si="67"/>
      </c>
      <c r="T261" s="39"/>
      <c r="AB261" s="136">
        <f t="shared" si="70"/>
      </c>
      <c r="AC261" s="136">
        <f t="shared" si="71"/>
      </c>
      <c r="AD261" s="136">
        <f t="shared" si="72"/>
      </c>
    </row>
    <row r="262" spans="6:30" ht="16.5" customHeight="1">
      <c r="F262" s="210">
        <f t="shared" si="73"/>
        <v>257</v>
      </c>
      <c r="G262" s="28">
        <f t="shared" si="68"/>
      </c>
      <c r="H262" s="29">
        <f t="shared" si="84"/>
      </c>
      <c r="I262" s="22">
        <f t="shared" si="80"/>
      </c>
      <c r="J262" s="30">
        <f t="shared" si="74"/>
      </c>
      <c r="K262" s="23">
        <f t="shared" si="81"/>
      </c>
      <c r="L262" s="29">
        <f t="shared" si="75"/>
      </c>
      <c r="M262" s="22">
        <f t="shared" si="76"/>
      </c>
      <c r="N262" s="23">
        <f t="shared" si="82"/>
      </c>
      <c r="O262" s="29">
        <f t="shared" si="83"/>
      </c>
      <c r="P262" s="22">
        <f t="shared" si="77"/>
      </c>
      <c r="Q262" s="23">
        <f t="shared" si="78"/>
      </c>
      <c r="R262" s="24">
        <f t="shared" si="79"/>
        <v>0</v>
      </c>
      <c r="S262" s="211">
        <f aca="true" t="shared" si="85" ref="S262:S325">IF(AND(H262="",L262=""),"",IF(ISERROR(YEAR(H262)),YEAR(L262),YEAR(H262)))</f>
      </c>
      <c r="T262" s="39"/>
      <c r="AB262" s="136">
        <f t="shared" si="70"/>
      </c>
      <c r="AC262" s="136">
        <f t="shared" si="71"/>
      </c>
      <c r="AD262" s="136">
        <f t="shared" si="72"/>
      </c>
    </row>
    <row r="263" spans="6:30" ht="16.5" customHeight="1">
      <c r="F263" s="210">
        <f t="shared" si="73"/>
        <v>258</v>
      </c>
      <c r="G263" s="28">
        <f aca="true" t="shared" si="86" ref="G263:G326">IF(OR(G262="",AND(G262&gt;D$11,J262&gt;D$27)),"",DATE(YEAR(G$6),MONTH(G$6)+F262+IF(OR(D$9="末",D$9=31),1,0),IF(OR(D$9="末",D$9=31),0,D$9)))</f>
      </c>
      <c r="H263" s="29">
        <f t="shared" si="84"/>
      </c>
      <c r="I263" s="22">
        <f t="shared" si="80"/>
      </c>
      <c r="J263" s="30">
        <f t="shared" si="74"/>
      </c>
      <c r="K263" s="23">
        <f t="shared" si="81"/>
      </c>
      <c r="L263" s="29">
        <f t="shared" si="75"/>
      </c>
      <c r="M263" s="22">
        <f t="shared" si="76"/>
      </c>
      <c r="N263" s="23">
        <f t="shared" si="82"/>
      </c>
      <c r="O263" s="29">
        <f t="shared" si="83"/>
      </c>
      <c r="P263" s="22">
        <f t="shared" si="77"/>
      </c>
      <c r="Q263" s="23">
        <f t="shared" si="78"/>
      </c>
      <c r="R263" s="24">
        <f t="shared" si="79"/>
        <v>0</v>
      </c>
      <c r="S263" s="211">
        <f t="shared" si="85"/>
      </c>
      <c r="T263" s="39"/>
      <c r="AB263" s="136">
        <f aca="true" t="shared" si="87" ref="AB263:AB326">IF(H263="","",IF(AND(MONTH(D$6)=MONTH(H263)),YEAR(H263)-YEAR(D$6)&amp;"歳誕生月",""))</f>
      </c>
      <c r="AC263" s="136">
        <f aca="true" t="shared" si="88" ref="AC263:AC326">IF(L263="","",IF(AND(MONTH(D$22)=MONTH(L263)),YEAR(L263)-YEAR(D$22)&amp;"歳誕生月",""))</f>
      </c>
      <c r="AD263" s="136">
        <f aca="true" t="shared" si="89" ref="AD263:AD326">IF(O263="","",IF(AND(MONTH(D$38)=MONTH(O263)),YEAR(O263)-YEAR(D$38)&amp;"歳誕生月",""))</f>
      </c>
    </row>
    <row r="264" spans="6:30" ht="16.5" customHeight="1">
      <c r="F264" s="210">
        <f aca="true" t="shared" si="90" ref="F264:F327">F263+1</f>
        <v>259</v>
      </c>
      <c r="G264" s="28">
        <f t="shared" si="86"/>
      </c>
      <c r="H264" s="29">
        <f t="shared" si="84"/>
      </c>
      <c r="I264" s="22">
        <f t="shared" si="80"/>
      </c>
      <c r="J264" s="30">
        <f aca="true" t="shared" si="91" ref="J264:J327">IF(OR(J263="",J263&gt;D$27),"",DATE(YEAR(J$6),MONTH(J$6)+F263+IF(OR(D$25="末",D$25=31),1,0),IF(OR(D$25="末",D$25=31),0,D$25)))</f>
      </c>
      <c r="K264" s="23">
        <f t="shared" si="81"/>
      </c>
      <c r="L264" s="29">
        <f aca="true" t="shared" si="92" ref="L264:L327">IF(L263="","",IF(AND(J264&gt;DATE(YEAR(D$27),MONTH(D$27)+1,0),J264&gt;D$11),"",IF(DAY(J264)&lt;&gt;D$25,DATE(YEAR(J264),MONTH(J264)+1,0),J264)))</f>
      </c>
      <c r="M264" s="22">
        <f aca="true" t="shared" si="93" ref="M264:M327">IF(L264="","",IF(AND(D$28&lt;&gt;0,L264&gt;D$28),D$29,M263))</f>
      </c>
      <c r="N264" s="23">
        <f t="shared" si="82"/>
      </c>
      <c r="O264" s="29">
        <f t="shared" si="83"/>
      </c>
      <c r="P264" s="22">
        <f aca="true" t="shared" si="94" ref="P264:P327">IF(O264="","",IF(AND(D$44&lt;&gt;0,O264&gt;D$44),D$45,P263))</f>
      </c>
      <c r="Q264" s="23">
        <f aca="true" t="shared" si="95" ref="Q264:Q327">IF(O264="","",AD264)</f>
      </c>
      <c r="R264" s="24">
        <f aca="true" t="shared" si="96" ref="R264:R327">IF(I264="",0,I264)+IF(M264="",0,M264)+IF(P264="",0,P264)</f>
        <v>0</v>
      </c>
      <c r="S264" s="211">
        <f t="shared" si="85"/>
      </c>
      <c r="T264" s="39"/>
      <c r="AB264" s="136">
        <f t="shared" si="87"/>
      </c>
      <c r="AC264" s="136">
        <f t="shared" si="88"/>
      </c>
      <c r="AD264" s="136">
        <f t="shared" si="89"/>
      </c>
    </row>
    <row r="265" spans="6:30" ht="16.5" customHeight="1">
      <c r="F265" s="210">
        <f t="shared" si="90"/>
        <v>260</v>
      </c>
      <c r="G265" s="28">
        <f t="shared" si="86"/>
      </c>
      <c r="H265" s="29">
        <f t="shared" si="84"/>
      </c>
      <c r="I265" s="22">
        <f aca="true" t="shared" si="97" ref="I265:I328">IF(H265="","",IF(AND(D$12&lt;&gt;0,H265&gt;D$12),D$13,I264))</f>
      </c>
      <c r="J265" s="30">
        <f t="shared" si="91"/>
      </c>
      <c r="K265" s="23">
        <f aca="true" t="shared" si="98" ref="K265:K328">IF(H265="","",IF(AND(YEAR(H265)=YEAR(D$15),MONTH(H265)=MONTH(D$15)),B$15,IF(AND(YEAR(H265)=YEAR(D$16),MONTH(H265)=MONTH(D$16)),B$16,IF(AND(YEAR(H265)=YEAR(D$17),MONTH(H265)=MONTH(D$17)),B$17,IF(AND(YEAR(H265)=YEAR(D$19),MONTH(H265)=MONTH(D$19)),B$19,IF(AND(YEAR(H265)=YEAR(D$18),MONTH(H265)=MONTH(D$18)),B$18,AB265))))))</f>
      </c>
      <c r="L265" s="29">
        <f t="shared" si="92"/>
      </c>
      <c r="M265" s="22">
        <f t="shared" si="93"/>
      </c>
      <c r="N265" s="23">
        <f aca="true" t="shared" si="99" ref="N265:N328">IF(L265="","",IF(AND(YEAR(L265)=YEAR(D$31),MONTH(L265)=MONTH(D$31)),B$31,IF(AND(YEAR(L265)=YEAR(D$32),MONTH(L265)=MONTH(D$32)),B$32,IF(AND(YEAR(L265)=YEAR(D$33),MONTH(L265)=MONTH(D$33)),B$33,IF(AND(YEAR(L265)=YEAR(D$35),MONTH(L265)=MONTH(D$35)),B$35,IF(AND(YEAR(L265)=YEAR(D$34),MONTH(L265)=MONTH(D$34)),B$34,AC265))))))</f>
      </c>
      <c r="O265" s="29">
        <f t="shared" si="83"/>
      </c>
      <c r="P265" s="22">
        <f t="shared" si="94"/>
      </c>
      <c r="Q265" s="23">
        <f t="shared" si="95"/>
      </c>
      <c r="R265" s="24">
        <f t="shared" si="96"/>
        <v>0</v>
      </c>
      <c r="S265" s="211">
        <f t="shared" si="85"/>
      </c>
      <c r="T265" s="39"/>
      <c r="AB265" s="136">
        <f t="shared" si="87"/>
      </c>
      <c r="AC265" s="136">
        <f t="shared" si="88"/>
      </c>
      <c r="AD265" s="136">
        <f t="shared" si="89"/>
      </c>
    </row>
    <row r="266" spans="6:30" ht="16.5" customHeight="1">
      <c r="F266" s="210">
        <f t="shared" si="90"/>
        <v>261</v>
      </c>
      <c r="G266" s="28">
        <f t="shared" si="86"/>
      </c>
      <c r="H266" s="29">
        <f t="shared" si="84"/>
      </c>
      <c r="I266" s="22">
        <f t="shared" si="97"/>
      </c>
      <c r="J266" s="30">
        <f t="shared" si="91"/>
      </c>
      <c r="K266" s="23">
        <f t="shared" si="98"/>
      </c>
      <c r="L266" s="29">
        <f t="shared" si="92"/>
      </c>
      <c r="M266" s="22">
        <f t="shared" si="93"/>
      </c>
      <c r="N266" s="23">
        <f t="shared" si="99"/>
      </c>
      <c r="O266" s="29">
        <f t="shared" si="83"/>
      </c>
      <c r="P266" s="22">
        <f t="shared" si="94"/>
      </c>
      <c r="Q266" s="23">
        <f t="shared" si="95"/>
      </c>
      <c r="R266" s="24">
        <f t="shared" si="96"/>
        <v>0</v>
      </c>
      <c r="S266" s="211">
        <f t="shared" si="85"/>
      </c>
      <c r="T266" s="39"/>
      <c r="AB266" s="136">
        <f t="shared" si="87"/>
      </c>
      <c r="AC266" s="136">
        <f t="shared" si="88"/>
      </c>
      <c r="AD266" s="136">
        <f t="shared" si="89"/>
      </c>
    </row>
    <row r="267" spans="6:30" ht="16.5" customHeight="1">
      <c r="F267" s="210">
        <f t="shared" si="90"/>
        <v>262</v>
      </c>
      <c r="G267" s="28">
        <f t="shared" si="86"/>
      </c>
      <c r="H267" s="29">
        <f t="shared" si="84"/>
      </c>
      <c r="I267" s="22">
        <f t="shared" si="97"/>
      </c>
      <c r="J267" s="30">
        <f t="shared" si="91"/>
      </c>
      <c r="K267" s="23">
        <f t="shared" si="98"/>
      </c>
      <c r="L267" s="29">
        <f t="shared" si="92"/>
      </c>
      <c r="M267" s="22">
        <f t="shared" si="93"/>
      </c>
      <c r="N267" s="23">
        <f t="shared" si="99"/>
      </c>
      <c r="O267" s="29">
        <f t="shared" si="83"/>
      </c>
      <c r="P267" s="22">
        <f t="shared" si="94"/>
      </c>
      <c r="Q267" s="23">
        <f t="shared" si="95"/>
      </c>
      <c r="R267" s="24">
        <f t="shared" si="96"/>
        <v>0</v>
      </c>
      <c r="S267" s="211">
        <f t="shared" si="85"/>
      </c>
      <c r="T267" s="39"/>
      <c r="AB267" s="136">
        <f t="shared" si="87"/>
      </c>
      <c r="AC267" s="136">
        <f t="shared" si="88"/>
      </c>
      <c r="AD267" s="136">
        <f t="shared" si="89"/>
      </c>
    </row>
    <row r="268" spans="6:30" ht="16.5" customHeight="1">
      <c r="F268" s="210">
        <f t="shared" si="90"/>
        <v>263</v>
      </c>
      <c r="G268" s="28">
        <f t="shared" si="86"/>
      </c>
      <c r="H268" s="29">
        <f t="shared" si="84"/>
      </c>
      <c r="I268" s="22">
        <f t="shared" si="97"/>
      </c>
      <c r="J268" s="30">
        <f t="shared" si="91"/>
      </c>
      <c r="K268" s="23">
        <f t="shared" si="98"/>
      </c>
      <c r="L268" s="29">
        <f t="shared" si="92"/>
      </c>
      <c r="M268" s="22">
        <f t="shared" si="93"/>
      </c>
      <c r="N268" s="23">
        <f t="shared" si="99"/>
      </c>
      <c r="O268" s="29">
        <f t="shared" si="83"/>
      </c>
      <c r="P268" s="22">
        <f t="shared" si="94"/>
      </c>
      <c r="Q268" s="23">
        <f t="shared" si="95"/>
      </c>
      <c r="R268" s="24">
        <f t="shared" si="96"/>
        <v>0</v>
      </c>
      <c r="S268" s="211">
        <f t="shared" si="85"/>
      </c>
      <c r="T268" s="39"/>
      <c r="AB268" s="136">
        <f t="shared" si="87"/>
      </c>
      <c r="AC268" s="136">
        <f t="shared" si="88"/>
      </c>
      <c r="AD268" s="136">
        <f t="shared" si="89"/>
      </c>
    </row>
    <row r="269" spans="6:30" ht="16.5" customHeight="1">
      <c r="F269" s="210">
        <f t="shared" si="90"/>
        <v>264</v>
      </c>
      <c r="G269" s="28">
        <f t="shared" si="86"/>
      </c>
      <c r="H269" s="29">
        <f t="shared" si="84"/>
      </c>
      <c r="I269" s="22">
        <f t="shared" si="97"/>
      </c>
      <c r="J269" s="30">
        <f t="shared" si="91"/>
      </c>
      <c r="K269" s="23">
        <f t="shared" si="98"/>
      </c>
      <c r="L269" s="29">
        <f t="shared" si="92"/>
      </c>
      <c r="M269" s="22">
        <f t="shared" si="93"/>
      </c>
      <c r="N269" s="23">
        <f t="shared" si="99"/>
      </c>
      <c r="O269" s="29">
        <f t="shared" si="83"/>
      </c>
      <c r="P269" s="22">
        <f t="shared" si="94"/>
      </c>
      <c r="Q269" s="23">
        <f t="shared" si="95"/>
      </c>
      <c r="R269" s="24">
        <f t="shared" si="96"/>
        <v>0</v>
      </c>
      <c r="S269" s="211">
        <f t="shared" si="85"/>
      </c>
      <c r="T269" s="39"/>
      <c r="AB269" s="136">
        <f t="shared" si="87"/>
      </c>
      <c r="AC269" s="136">
        <f t="shared" si="88"/>
      </c>
      <c r="AD269" s="136">
        <f t="shared" si="89"/>
      </c>
    </row>
    <row r="270" spans="6:30" ht="16.5" customHeight="1">
      <c r="F270" s="210">
        <f t="shared" si="90"/>
        <v>265</v>
      </c>
      <c r="G270" s="28">
        <f t="shared" si="86"/>
      </c>
      <c r="H270" s="29">
        <f t="shared" si="84"/>
      </c>
      <c r="I270" s="22">
        <f t="shared" si="97"/>
      </c>
      <c r="J270" s="30">
        <f t="shared" si="91"/>
      </c>
      <c r="K270" s="23">
        <f t="shared" si="98"/>
      </c>
      <c r="L270" s="29">
        <f t="shared" si="92"/>
      </c>
      <c r="M270" s="22">
        <f t="shared" si="93"/>
      </c>
      <c r="N270" s="23">
        <f t="shared" si="99"/>
      </c>
      <c r="O270" s="29">
        <f t="shared" si="83"/>
      </c>
      <c r="P270" s="22">
        <f t="shared" si="94"/>
      </c>
      <c r="Q270" s="23">
        <f t="shared" si="95"/>
      </c>
      <c r="R270" s="24">
        <f t="shared" si="96"/>
        <v>0</v>
      </c>
      <c r="S270" s="211">
        <f t="shared" si="85"/>
      </c>
      <c r="T270" s="39"/>
      <c r="AB270" s="136">
        <f t="shared" si="87"/>
      </c>
      <c r="AC270" s="136">
        <f t="shared" si="88"/>
      </c>
      <c r="AD270" s="136">
        <f t="shared" si="89"/>
      </c>
    </row>
    <row r="271" spans="6:30" ht="16.5" customHeight="1">
      <c r="F271" s="210">
        <f t="shared" si="90"/>
        <v>266</v>
      </c>
      <c r="G271" s="28">
        <f t="shared" si="86"/>
      </c>
      <c r="H271" s="29">
        <f t="shared" si="84"/>
      </c>
      <c r="I271" s="22">
        <f t="shared" si="97"/>
      </c>
      <c r="J271" s="30">
        <f t="shared" si="91"/>
      </c>
      <c r="K271" s="23">
        <f t="shared" si="98"/>
      </c>
      <c r="L271" s="29">
        <f t="shared" si="92"/>
      </c>
      <c r="M271" s="22">
        <f t="shared" si="93"/>
      </c>
      <c r="N271" s="23">
        <f t="shared" si="99"/>
      </c>
      <c r="O271" s="29">
        <f t="shared" si="83"/>
      </c>
      <c r="P271" s="22">
        <f t="shared" si="94"/>
      </c>
      <c r="Q271" s="23">
        <f t="shared" si="95"/>
      </c>
      <c r="R271" s="24">
        <f t="shared" si="96"/>
        <v>0</v>
      </c>
      <c r="S271" s="211">
        <f t="shared" si="85"/>
      </c>
      <c r="T271" s="39"/>
      <c r="AB271" s="136">
        <f t="shared" si="87"/>
      </c>
      <c r="AC271" s="136">
        <f t="shared" si="88"/>
      </c>
      <c r="AD271" s="136">
        <f t="shared" si="89"/>
      </c>
    </row>
    <row r="272" spans="6:30" ht="16.5" customHeight="1">
      <c r="F272" s="210">
        <f t="shared" si="90"/>
        <v>267</v>
      </c>
      <c r="G272" s="28">
        <f t="shared" si="86"/>
      </c>
      <c r="H272" s="29">
        <f t="shared" si="84"/>
      </c>
      <c r="I272" s="22">
        <f t="shared" si="97"/>
      </c>
      <c r="J272" s="30">
        <f t="shared" si="91"/>
      </c>
      <c r="K272" s="23">
        <f t="shared" si="98"/>
      </c>
      <c r="L272" s="29">
        <f t="shared" si="92"/>
      </c>
      <c r="M272" s="22">
        <f t="shared" si="93"/>
      </c>
      <c r="N272" s="23">
        <f t="shared" si="99"/>
      </c>
      <c r="O272" s="29">
        <f t="shared" si="83"/>
      </c>
      <c r="P272" s="22">
        <f t="shared" si="94"/>
      </c>
      <c r="Q272" s="23">
        <f t="shared" si="95"/>
      </c>
      <c r="R272" s="24">
        <f t="shared" si="96"/>
        <v>0</v>
      </c>
      <c r="S272" s="211">
        <f t="shared" si="85"/>
      </c>
      <c r="T272" s="39"/>
      <c r="AB272" s="136">
        <f t="shared" si="87"/>
      </c>
      <c r="AC272" s="136">
        <f t="shared" si="88"/>
      </c>
      <c r="AD272" s="136">
        <f t="shared" si="89"/>
      </c>
    </row>
    <row r="273" spans="6:30" ht="16.5" customHeight="1">
      <c r="F273" s="210">
        <f t="shared" si="90"/>
        <v>268</v>
      </c>
      <c r="G273" s="28">
        <f t="shared" si="86"/>
      </c>
      <c r="H273" s="29">
        <f t="shared" si="84"/>
      </c>
      <c r="I273" s="22">
        <f t="shared" si="97"/>
      </c>
      <c r="J273" s="30">
        <f t="shared" si="91"/>
      </c>
      <c r="K273" s="23">
        <f t="shared" si="98"/>
      </c>
      <c r="L273" s="29">
        <f t="shared" si="92"/>
      </c>
      <c r="M273" s="22">
        <f t="shared" si="93"/>
      </c>
      <c r="N273" s="23">
        <f t="shared" si="99"/>
      </c>
      <c r="O273" s="29">
        <f t="shared" si="83"/>
      </c>
      <c r="P273" s="22">
        <f t="shared" si="94"/>
      </c>
      <c r="Q273" s="23">
        <f t="shared" si="95"/>
      </c>
      <c r="R273" s="24">
        <f t="shared" si="96"/>
        <v>0</v>
      </c>
      <c r="S273" s="211">
        <f t="shared" si="85"/>
      </c>
      <c r="T273" s="39"/>
      <c r="AB273" s="136">
        <f t="shared" si="87"/>
      </c>
      <c r="AC273" s="136">
        <f t="shared" si="88"/>
      </c>
      <c r="AD273" s="136">
        <f t="shared" si="89"/>
      </c>
    </row>
    <row r="274" spans="6:30" ht="16.5" customHeight="1">
      <c r="F274" s="210">
        <f t="shared" si="90"/>
        <v>269</v>
      </c>
      <c r="G274" s="28">
        <f t="shared" si="86"/>
      </c>
      <c r="H274" s="29">
        <f t="shared" si="84"/>
      </c>
      <c r="I274" s="22">
        <f t="shared" si="97"/>
      </c>
      <c r="J274" s="30">
        <f t="shared" si="91"/>
      </c>
      <c r="K274" s="23">
        <f t="shared" si="98"/>
      </c>
      <c r="L274" s="29">
        <f t="shared" si="92"/>
      </c>
      <c r="M274" s="22">
        <f t="shared" si="93"/>
      </c>
      <c r="N274" s="23">
        <f t="shared" si="99"/>
      </c>
      <c r="O274" s="29">
        <f t="shared" si="83"/>
      </c>
      <c r="P274" s="22">
        <f t="shared" si="94"/>
      </c>
      <c r="Q274" s="23">
        <f t="shared" si="95"/>
      </c>
      <c r="R274" s="24">
        <f t="shared" si="96"/>
        <v>0</v>
      </c>
      <c r="S274" s="211">
        <f t="shared" si="85"/>
      </c>
      <c r="T274" s="39"/>
      <c r="AB274" s="136">
        <f t="shared" si="87"/>
      </c>
      <c r="AC274" s="136">
        <f t="shared" si="88"/>
      </c>
      <c r="AD274" s="136">
        <f t="shared" si="89"/>
      </c>
    </row>
    <row r="275" spans="6:30" ht="16.5" customHeight="1">
      <c r="F275" s="210">
        <f t="shared" si="90"/>
        <v>270</v>
      </c>
      <c r="G275" s="28">
        <f t="shared" si="86"/>
      </c>
      <c r="H275" s="29">
        <f t="shared" si="84"/>
      </c>
      <c r="I275" s="22">
        <f t="shared" si="97"/>
      </c>
      <c r="J275" s="30">
        <f t="shared" si="91"/>
      </c>
      <c r="K275" s="23">
        <f t="shared" si="98"/>
      </c>
      <c r="L275" s="29">
        <f t="shared" si="92"/>
      </c>
      <c r="M275" s="22">
        <f t="shared" si="93"/>
      </c>
      <c r="N275" s="23">
        <f t="shared" si="99"/>
      </c>
      <c r="O275" s="29">
        <f t="shared" si="83"/>
      </c>
      <c r="P275" s="22">
        <f t="shared" si="94"/>
      </c>
      <c r="Q275" s="23">
        <f t="shared" si="95"/>
      </c>
      <c r="R275" s="24">
        <f t="shared" si="96"/>
        <v>0</v>
      </c>
      <c r="S275" s="211">
        <f t="shared" si="85"/>
      </c>
      <c r="T275" s="39"/>
      <c r="AB275" s="136">
        <f t="shared" si="87"/>
      </c>
      <c r="AC275" s="136">
        <f t="shared" si="88"/>
      </c>
      <c r="AD275" s="136">
        <f t="shared" si="89"/>
      </c>
    </row>
    <row r="276" spans="6:30" ht="16.5" customHeight="1">
      <c r="F276" s="210">
        <f t="shared" si="90"/>
        <v>271</v>
      </c>
      <c r="G276" s="28">
        <f t="shared" si="86"/>
      </c>
      <c r="H276" s="29">
        <f t="shared" si="84"/>
      </c>
      <c r="I276" s="22">
        <f t="shared" si="97"/>
      </c>
      <c r="J276" s="30">
        <f t="shared" si="91"/>
      </c>
      <c r="K276" s="23">
        <f t="shared" si="98"/>
      </c>
      <c r="L276" s="29">
        <f t="shared" si="92"/>
      </c>
      <c r="M276" s="22">
        <f t="shared" si="93"/>
      </c>
      <c r="N276" s="23">
        <f t="shared" si="99"/>
      </c>
      <c r="O276" s="29">
        <f t="shared" si="83"/>
      </c>
      <c r="P276" s="22">
        <f t="shared" si="94"/>
      </c>
      <c r="Q276" s="23">
        <f t="shared" si="95"/>
      </c>
      <c r="R276" s="24">
        <f t="shared" si="96"/>
        <v>0</v>
      </c>
      <c r="S276" s="211">
        <f t="shared" si="85"/>
      </c>
      <c r="T276" s="39"/>
      <c r="AB276" s="136">
        <f t="shared" si="87"/>
      </c>
      <c r="AC276" s="136">
        <f t="shared" si="88"/>
      </c>
      <c r="AD276" s="136">
        <f t="shared" si="89"/>
      </c>
    </row>
    <row r="277" spans="6:30" ht="16.5" customHeight="1">
      <c r="F277" s="210">
        <f t="shared" si="90"/>
        <v>272</v>
      </c>
      <c r="G277" s="28">
        <f t="shared" si="86"/>
      </c>
      <c r="H277" s="29">
        <f t="shared" si="84"/>
      </c>
      <c r="I277" s="22">
        <f t="shared" si="97"/>
      </c>
      <c r="J277" s="30">
        <f t="shared" si="91"/>
      </c>
      <c r="K277" s="23">
        <f t="shared" si="98"/>
      </c>
      <c r="L277" s="29">
        <f t="shared" si="92"/>
      </c>
      <c r="M277" s="22">
        <f t="shared" si="93"/>
      </c>
      <c r="N277" s="23">
        <f t="shared" si="99"/>
      </c>
      <c r="O277" s="29">
        <f t="shared" si="83"/>
      </c>
      <c r="P277" s="22">
        <f t="shared" si="94"/>
      </c>
      <c r="Q277" s="23">
        <f t="shared" si="95"/>
      </c>
      <c r="R277" s="24">
        <f t="shared" si="96"/>
        <v>0</v>
      </c>
      <c r="S277" s="211">
        <f t="shared" si="85"/>
      </c>
      <c r="T277" s="39"/>
      <c r="AB277" s="136">
        <f t="shared" si="87"/>
      </c>
      <c r="AC277" s="136">
        <f t="shared" si="88"/>
      </c>
      <c r="AD277" s="136">
        <f t="shared" si="89"/>
      </c>
    </row>
    <row r="278" spans="6:30" ht="16.5" customHeight="1">
      <c r="F278" s="210">
        <f t="shared" si="90"/>
        <v>273</v>
      </c>
      <c r="G278" s="28">
        <f t="shared" si="86"/>
      </c>
      <c r="H278" s="29">
        <f t="shared" si="84"/>
      </c>
      <c r="I278" s="22">
        <f t="shared" si="97"/>
      </c>
      <c r="J278" s="30">
        <f t="shared" si="91"/>
      </c>
      <c r="K278" s="23">
        <f t="shared" si="98"/>
      </c>
      <c r="L278" s="29">
        <f t="shared" si="92"/>
      </c>
      <c r="M278" s="22">
        <f t="shared" si="93"/>
      </c>
      <c r="N278" s="23">
        <f t="shared" si="99"/>
      </c>
      <c r="O278" s="29">
        <f t="shared" si="83"/>
      </c>
      <c r="P278" s="22">
        <f t="shared" si="94"/>
      </c>
      <c r="Q278" s="23">
        <f t="shared" si="95"/>
      </c>
      <c r="R278" s="24">
        <f t="shared" si="96"/>
        <v>0</v>
      </c>
      <c r="S278" s="211">
        <f t="shared" si="85"/>
      </c>
      <c r="T278" s="39"/>
      <c r="AB278" s="136">
        <f t="shared" si="87"/>
      </c>
      <c r="AC278" s="136">
        <f t="shared" si="88"/>
      </c>
      <c r="AD278" s="136">
        <f t="shared" si="89"/>
      </c>
    </row>
    <row r="279" spans="6:30" ht="16.5" customHeight="1">
      <c r="F279" s="210">
        <f t="shared" si="90"/>
        <v>274</v>
      </c>
      <c r="G279" s="28">
        <f t="shared" si="86"/>
      </c>
      <c r="H279" s="29">
        <f t="shared" si="84"/>
      </c>
      <c r="I279" s="22">
        <f t="shared" si="97"/>
      </c>
      <c r="J279" s="30">
        <f t="shared" si="91"/>
      </c>
      <c r="K279" s="23">
        <f t="shared" si="98"/>
      </c>
      <c r="L279" s="29">
        <f t="shared" si="92"/>
      </c>
      <c r="M279" s="22">
        <f t="shared" si="93"/>
      </c>
      <c r="N279" s="23">
        <f t="shared" si="99"/>
      </c>
      <c r="O279" s="29">
        <f t="shared" si="83"/>
      </c>
      <c r="P279" s="22">
        <f t="shared" si="94"/>
      </c>
      <c r="Q279" s="23">
        <f t="shared" si="95"/>
      </c>
      <c r="R279" s="24">
        <f t="shared" si="96"/>
        <v>0</v>
      </c>
      <c r="S279" s="211">
        <f t="shared" si="85"/>
      </c>
      <c r="T279" s="39"/>
      <c r="AB279" s="136">
        <f t="shared" si="87"/>
      </c>
      <c r="AC279" s="136">
        <f t="shared" si="88"/>
      </c>
      <c r="AD279" s="136">
        <f t="shared" si="89"/>
      </c>
    </row>
    <row r="280" spans="6:30" ht="16.5" customHeight="1">
      <c r="F280" s="210">
        <f t="shared" si="90"/>
        <v>275</v>
      </c>
      <c r="G280" s="28">
        <f t="shared" si="86"/>
      </c>
      <c r="H280" s="29">
        <f t="shared" si="84"/>
      </c>
      <c r="I280" s="22">
        <f t="shared" si="97"/>
      </c>
      <c r="J280" s="30">
        <f t="shared" si="91"/>
      </c>
      <c r="K280" s="23">
        <f t="shared" si="98"/>
      </c>
      <c r="L280" s="29">
        <f t="shared" si="92"/>
      </c>
      <c r="M280" s="22">
        <f t="shared" si="93"/>
      </c>
      <c r="N280" s="23">
        <f t="shared" si="99"/>
      </c>
      <c r="O280" s="29">
        <f t="shared" si="83"/>
      </c>
      <c r="P280" s="22">
        <f t="shared" si="94"/>
      </c>
      <c r="Q280" s="23">
        <f t="shared" si="95"/>
      </c>
      <c r="R280" s="24">
        <f t="shared" si="96"/>
        <v>0</v>
      </c>
      <c r="S280" s="211">
        <f t="shared" si="85"/>
      </c>
      <c r="T280" s="39"/>
      <c r="AB280" s="136">
        <f t="shared" si="87"/>
      </c>
      <c r="AC280" s="136">
        <f t="shared" si="88"/>
      </c>
      <c r="AD280" s="136">
        <f t="shared" si="89"/>
      </c>
    </row>
    <row r="281" spans="6:30" ht="16.5" customHeight="1">
      <c r="F281" s="210">
        <f t="shared" si="90"/>
        <v>276</v>
      </c>
      <c r="G281" s="28">
        <f t="shared" si="86"/>
      </c>
      <c r="H281" s="29">
        <f t="shared" si="84"/>
      </c>
      <c r="I281" s="22">
        <f t="shared" si="97"/>
      </c>
      <c r="J281" s="30">
        <f t="shared" si="91"/>
      </c>
      <c r="K281" s="23">
        <f t="shared" si="98"/>
      </c>
      <c r="L281" s="29">
        <f t="shared" si="92"/>
      </c>
      <c r="M281" s="22">
        <f t="shared" si="93"/>
      </c>
      <c r="N281" s="23">
        <f t="shared" si="99"/>
      </c>
      <c r="O281" s="29">
        <f t="shared" si="83"/>
      </c>
      <c r="P281" s="22">
        <f t="shared" si="94"/>
      </c>
      <c r="Q281" s="23">
        <f t="shared" si="95"/>
      </c>
      <c r="R281" s="24">
        <f t="shared" si="96"/>
        <v>0</v>
      </c>
      <c r="S281" s="211">
        <f t="shared" si="85"/>
      </c>
      <c r="T281" s="39"/>
      <c r="AB281" s="136">
        <f t="shared" si="87"/>
      </c>
      <c r="AC281" s="136">
        <f t="shared" si="88"/>
      </c>
      <c r="AD281" s="136">
        <f t="shared" si="89"/>
      </c>
    </row>
    <row r="282" spans="6:30" ht="16.5" customHeight="1">
      <c r="F282" s="210">
        <f t="shared" si="90"/>
        <v>277</v>
      </c>
      <c r="G282" s="28">
        <f t="shared" si="86"/>
      </c>
      <c r="H282" s="29">
        <f t="shared" si="84"/>
      </c>
      <c r="I282" s="22">
        <f t="shared" si="97"/>
      </c>
      <c r="J282" s="30">
        <f t="shared" si="91"/>
      </c>
      <c r="K282" s="23">
        <f t="shared" si="98"/>
      </c>
      <c r="L282" s="29">
        <f t="shared" si="92"/>
      </c>
      <c r="M282" s="22">
        <f t="shared" si="93"/>
      </c>
      <c r="N282" s="23">
        <f t="shared" si="99"/>
      </c>
      <c r="O282" s="29">
        <f t="shared" si="83"/>
      </c>
      <c r="P282" s="22">
        <f t="shared" si="94"/>
      </c>
      <c r="Q282" s="23">
        <f t="shared" si="95"/>
      </c>
      <c r="R282" s="24">
        <f t="shared" si="96"/>
        <v>0</v>
      </c>
      <c r="S282" s="211">
        <f t="shared" si="85"/>
      </c>
      <c r="T282" s="39"/>
      <c r="AB282" s="136">
        <f t="shared" si="87"/>
      </c>
      <c r="AC282" s="136">
        <f t="shared" si="88"/>
      </c>
      <c r="AD282" s="136">
        <f t="shared" si="89"/>
      </c>
    </row>
    <row r="283" spans="6:30" ht="16.5" customHeight="1">
      <c r="F283" s="210">
        <f t="shared" si="90"/>
        <v>278</v>
      </c>
      <c r="G283" s="28">
        <f t="shared" si="86"/>
      </c>
      <c r="H283" s="29">
        <f t="shared" si="84"/>
      </c>
      <c r="I283" s="22">
        <f t="shared" si="97"/>
      </c>
      <c r="J283" s="30">
        <f t="shared" si="91"/>
      </c>
      <c r="K283" s="23">
        <f t="shared" si="98"/>
      </c>
      <c r="L283" s="29">
        <f t="shared" si="92"/>
      </c>
      <c r="M283" s="22">
        <f t="shared" si="93"/>
      </c>
      <c r="N283" s="23">
        <f t="shared" si="99"/>
      </c>
      <c r="O283" s="29">
        <f t="shared" si="83"/>
      </c>
      <c r="P283" s="22">
        <f t="shared" si="94"/>
      </c>
      <c r="Q283" s="23">
        <f t="shared" si="95"/>
      </c>
      <c r="R283" s="24">
        <f t="shared" si="96"/>
        <v>0</v>
      </c>
      <c r="S283" s="211">
        <f t="shared" si="85"/>
      </c>
      <c r="T283" s="39"/>
      <c r="AB283" s="136">
        <f t="shared" si="87"/>
      </c>
      <c r="AC283" s="136">
        <f t="shared" si="88"/>
      </c>
      <c r="AD283" s="136">
        <f t="shared" si="89"/>
      </c>
    </row>
    <row r="284" spans="6:30" ht="16.5" customHeight="1">
      <c r="F284" s="210">
        <f t="shared" si="90"/>
        <v>279</v>
      </c>
      <c r="G284" s="28">
        <f t="shared" si="86"/>
      </c>
      <c r="H284" s="29">
        <f t="shared" si="84"/>
      </c>
      <c r="I284" s="22">
        <f t="shared" si="97"/>
      </c>
      <c r="J284" s="30">
        <f t="shared" si="91"/>
      </c>
      <c r="K284" s="23">
        <f t="shared" si="98"/>
      </c>
      <c r="L284" s="29">
        <f t="shared" si="92"/>
      </c>
      <c r="M284" s="22">
        <f t="shared" si="93"/>
      </c>
      <c r="N284" s="23">
        <f t="shared" si="99"/>
      </c>
      <c r="O284" s="29">
        <f t="shared" si="83"/>
      </c>
      <c r="P284" s="22">
        <f t="shared" si="94"/>
      </c>
      <c r="Q284" s="23">
        <f t="shared" si="95"/>
      </c>
      <c r="R284" s="24">
        <f t="shared" si="96"/>
        <v>0</v>
      </c>
      <c r="S284" s="211">
        <f t="shared" si="85"/>
      </c>
      <c r="T284" s="39"/>
      <c r="AB284" s="136">
        <f t="shared" si="87"/>
      </c>
      <c r="AC284" s="136">
        <f t="shared" si="88"/>
      </c>
      <c r="AD284" s="136">
        <f t="shared" si="89"/>
      </c>
    </row>
    <row r="285" spans="6:30" ht="16.5" customHeight="1">
      <c r="F285" s="210">
        <f t="shared" si="90"/>
        <v>280</v>
      </c>
      <c r="G285" s="28">
        <f t="shared" si="86"/>
      </c>
      <c r="H285" s="29">
        <f t="shared" si="84"/>
      </c>
      <c r="I285" s="22">
        <f t="shared" si="97"/>
      </c>
      <c r="J285" s="30">
        <f t="shared" si="91"/>
      </c>
      <c r="K285" s="23">
        <f t="shared" si="98"/>
      </c>
      <c r="L285" s="29">
        <f t="shared" si="92"/>
      </c>
      <c r="M285" s="22">
        <f t="shared" si="93"/>
      </c>
      <c r="N285" s="23">
        <f t="shared" si="99"/>
      </c>
      <c r="O285" s="29">
        <f t="shared" si="83"/>
      </c>
      <c r="P285" s="22">
        <f t="shared" si="94"/>
      </c>
      <c r="Q285" s="23">
        <f t="shared" si="95"/>
      </c>
      <c r="R285" s="24">
        <f t="shared" si="96"/>
        <v>0</v>
      </c>
      <c r="S285" s="211">
        <f t="shared" si="85"/>
      </c>
      <c r="T285" s="39"/>
      <c r="AB285" s="136">
        <f t="shared" si="87"/>
      </c>
      <c r="AC285" s="136">
        <f t="shared" si="88"/>
      </c>
      <c r="AD285" s="136">
        <f t="shared" si="89"/>
      </c>
    </row>
    <row r="286" spans="6:30" ht="16.5" customHeight="1">
      <c r="F286" s="210">
        <f t="shared" si="90"/>
        <v>281</v>
      </c>
      <c r="G286" s="28">
        <f t="shared" si="86"/>
      </c>
      <c r="H286" s="29">
        <f t="shared" si="84"/>
      </c>
      <c r="I286" s="22">
        <f t="shared" si="97"/>
      </c>
      <c r="J286" s="30">
        <f t="shared" si="91"/>
      </c>
      <c r="K286" s="23">
        <f t="shared" si="98"/>
      </c>
      <c r="L286" s="29">
        <f t="shared" si="92"/>
      </c>
      <c r="M286" s="22">
        <f t="shared" si="93"/>
      </c>
      <c r="N286" s="23">
        <f t="shared" si="99"/>
      </c>
      <c r="O286" s="29">
        <f t="shared" si="83"/>
      </c>
      <c r="P286" s="22">
        <f t="shared" si="94"/>
      </c>
      <c r="Q286" s="23">
        <f t="shared" si="95"/>
      </c>
      <c r="R286" s="24">
        <f t="shared" si="96"/>
        <v>0</v>
      </c>
      <c r="S286" s="211">
        <f t="shared" si="85"/>
      </c>
      <c r="T286" s="39"/>
      <c r="AB286" s="136">
        <f t="shared" si="87"/>
      </c>
      <c r="AC286" s="136">
        <f t="shared" si="88"/>
      </c>
      <c r="AD286" s="136">
        <f t="shared" si="89"/>
      </c>
    </row>
    <row r="287" spans="6:30" ht="16.5" customHeight="1">
      <c r="F287" s="210">
        <f t="shared" si="90"/>
        <v>282</v>
      </c>
      <c r="G287" s="28">
        <f t="shared" si="86"/>
      </c>
      <c r="H287" s="29">
        <f t="shared" si="84"/>
      </c>
      <c r="I287" s="22">
        <f t="shared" si="97"/>
      </c>
      <c r="J287" s="30">
        <f t="shared" si="91"/>
      </c>
      <c r="K287" s="23">
        <f t="shared" si="98"/>
      </c>
      <c r="L287" s="29">
        <f t="shared" si="92"/>
      </c>
      <c r="M287" s="22">
        <f t="shared" si="93"/>
      </c>
      <c r="N287" s="23">
        <f t="shared" si="99"/>
      </c>
      <c r="O287" s="29">
        <f t="shared" si="83"/>
      </c>
      <c r="P287" s="22">
        <f t="shared" si="94"/>
      </c>
      <c r="Q287" s="23">
        <f t="shared" si="95"/>
      </c>
      <c r="R287" s="24">
        <f t="shared" si="96"/>
        <v>0</v>
      </c>
      <c r="S287" s="211">
        <f t="shared" si="85"/>
      </c>
      <c r="T287" s="39"/>
      <c r="AB287" s="136">
        <f t="shared" si="87"/>
      </c>
      <c r="AC287" s="136">
        <f t="shared" si="88"/>
      </c>
      <c r="AD287" s="136">
        <f t="shared" si="89"/>
      </c>
    </row>
    <row r="288" spans="6:30" ht="16.5" customHeight="1">
      <c r="F288" s="210">
        <f t="shared" si="90"/>
        <v>283</v>
      </c>
      <c r="G288" s="28">
        <f t="shared" si="86"/>
      </c>
      <c r="H288" s="29">
        <f t="shared" si="84"/>
      </c>
      <c r="I288" s="22">
        <f t="shared" si="97"/>
      </c>
      <c r="J288" s="30">
        <f t="shared" si="91"/>
      </c>
      <c r="K288" s="23">
        <f t="shared" si="98"/>
      </c>
      <c r="L288" s="29">
        <f t="shared" si="92"/>
      </c>
      <c r="M288" s="22">
        <f t="shared" si="93"/>
      </c>
      <c r="N288" s="23">
        <f t="shared" si="99"/>
      </c>
      <c r="O288" s="29">
        <f t="shared" si="83"/>
      </c>
      <c r="P288" s="22">
        <f t="shared" si="94"/>
      </c>
      <c r="Q288" s="23">
        <f t="shared" si="95"/>
      </c>
      <c r="R288" s="24">
        <f t="shared" si="96"/>
        <v>0</v>
      </c>
      <c r="S288" s="211">
        <f t="shared" si="85"/>
      </c>
      <c r="T288" s="39"/>
      <c r="AB288" s="136">
        <f t="shared" si="87"/>
      </c>
      <c r="AC288" s="136">
        <f t="shared" si="88"/>
      </c>
      <c r="AD288" s="136">
        <f t="shared" si="89"/>
      </c>
    </row>
    <row r="289" spans="6:30" ht="16.5" customHeight="1">
      <c r="F289" s="210">
        <f t="shared" si="90"/>
        <v>284</v>
      </c>
      <c r="G289" s="28">
        <f t="shared" si="86"/>
      </c>
      <c r="H289" s="29">
        <f t="shared" si="84"/>
      </c>
      <c r="I289" s="22">
        <f t="shared" si="97"/>
      </c>
      <c r="J289" s="30">
        <f t="shared" si="91"/>
      </c>
      <c r="K289" s="23">
        <f t="shared" si="98"/>
      </c>
      <c r="L289" s="29">
        <f t="shared" si="92"/>
      </c>
      <c r="M289" s="22">
        <f t="shared" si="93"/>
      </c>
      <c r="N289" s="23">
        <f t="shared" si="99"/>
      </c>
      <c r="O289" s="29">
        <f t="shared" si="83"/>
      </c>
      <c r="P289" s="22">
        <f t="shared" si="94"/>
      </c>
      <c r="Q289" s="23">
        <f t="shared" si="95"/>
      </c>
      <c r="R289" s="24">
        <f t="shared" si="96"/>
        <v>0</v>
      </c>
      <c r="S289" s="211">
        <f t="shared" si="85"/>
      </c>
      <c r="T289" s="39"/>
      <c r="AB289" s="136">
        <f t="shared" si="87"/>
      </c>
      <c r="AC289" s="136">
        <f t="shared" si="88"/>
      </c>
      <c r="AD289" s="136">
        <f t="shared" si="89"/>
      </c>
    </row>
    <row r="290" spans="6:30" ht="16.5" customHeight="1">
      <c r="F290" s="210">
        <f t="shared" si="90"/>
        <v>285</v>
      </c>
      <c r="G290" s="28">
        <f t="shared" si="86"/>
      </c>
      <c r="H290" s="29">
        <f t="shared" si="84"/>
      </c>
      <c r="I290" s="22">
        <f t="shared" si="97"/>
      </c>
      <c r="J290" s="30">
        <f t="shared" si="91"/>
      </c>
      <c r="K290" s="23">
        <f t="shared" si="98"/>
      </c>
      <c r="L290" s="29">
        <f t="shared" si="92"/>
      </c>
      <c r="M290" s="22">
        <f t="shared" si="93"/>
      </c>
      <c r="N290" s="23">
        <f t="shared" si="99"/>
      </c>
      <c r="O290" s="29">
        <f t="shared" si="83"/>
      </c>
      <c r="P290" s="22">
        <f t="shared" si="94"/>
      </c>
      <c r="Q290" s="23">
        <f t="shared" si="95"/>
      </c>
      <c r="R290" s="24">
        <f t="shared" si="96"/>
        <v>0</v>
      </c>
      <c r="S290" s="211">
        <f t="shared" si="85"/>
      </c>
      <c r="T290" s="39"/>
      <c r="AB290" s="136">
        <f t="shared" si="87"/>
      </c>
      <c r="AC290" s="136">
        <f t="shared" si="88"/>
      </c>
      <c r="AD290" s="136">
        <f t="shared" si="89"/>
      </c>
    </row>
    <row r="291" spans="6:30" ht="16.5" customHeight="1">
      <c r="F291" s="210">
        <f t="shared" si="90"/>
        <v>286</v>
      </c>
      <c r="G291" s="28">
        <f t="shared" si="86"/>
      </c>
      <c r="H291" s="29">
        <f t="shared" si="84"/>
      </c>
      <c r="I291" s="22">
        <f t="shared" si="97"/>
      </c>
      <c r="J291" s="30">
        <f t="shared" si="91"/>
      </c>
      <c r="K291" s="23">
        <f t="shared" si="98"/>
      </c>
      <c r="L291" s="29">
        <f t="shared" si="92"/>
      </c>
      <c r="M291" s="22">
        <f t="shared" si="93"/>
      </c>
      <c r="N291" s="23">
        <f t="shared" si="99"/>
      </c>
      <c r="O291" s="29">
        <f t="shared" si="83"/>
      </c>
      <c r="P291" s="22">
        <f t="shared" si="94"/>
      </c>
      <c r="Q291" s="23">
        <f t="shared" si="95"/>
      </c>
      <c r="R291" s="24">
        <f t="shared" si="96"/>
        <v>0</v>
      </c>
      <c r="S291" s="211">
        <f t="shared" si="85"/>
      </c>
      <c r="T291" s="39"/>
      <c r="AB291" s="136">
        <f t="shared" si="87"/>
      </c>
      <c r="AC291" s="136">
        <f t="shared" si="88"/>
      </c>
      <c r="AD291" s="136">
        <f t="shared" si="89"/>
      </c>
    </row>
    <row r="292" spans="6:30" ht="16.5" customHeight="1">
      <c r="F292" s="210">
        <f t="shared" si="90"/>
        <v>287</v>
      </c>
      <c r="G292" s="28">
        <f t="shared" si="86"/>
      </c>
      <c r="H292" s="29">
        <f t="shared" si="84"/>
      </c>
      <c r="I292" s="22">
        <f t="shared" si="97"/>
      </c>
      <c r="J292" s="30">
        <f t="shared" si="91"/>
      </c>
      <c r="K292" s="23">
        <f t="shared" si="98"/>
      </c>
      <c r="L292" s="29">
        <f t="shared" si="92"/>
      </c>
      <c r="M292" s="22">
        <f t="shared" si="93"/>
      </c>
      <c r="N292" s="23">
        <f t="shared" si="99"/>
      </c>
      <c r="O292" s="29">
        <f t="shared" si="83"/>
      </c>
      <c r="P292" s="22">
        <f t="shared" si="94"/>
      </c>
      <c r="Q292" s="23">
        <f t="shared" si="95"/>
      </c>
      <c r="R292" s="24">
        <f t="shared" si="96"/>
        <v>0</v>
      </c>
      <c r="S292" s="211">
        <f t="shared" si="85"/>
      </c>
      <c r="T292" s="39"/>
      <c r="AB292" s="136">
        <f t="shared" si="87"/>
      </c>
      <c r="AC292" s="136">
        <f t="shared" si="88"/>
      </c>
      <c r="AD292" s="136">
        <f t="shared" si="89"/>
      </c>
    </row>
    <row r="293" spans="6:30" ht="16.5" customHeight="1">
      <c r="F293" s="210">
        <f t="shared" si="90"/>
        <v>288</v>
      </c>
      <c r="G293" s="28">
        <f t="shared" si="86"/>
      </c>
      <c r="H293" s="29">
        <f t="shared" si="84"/>
      </c>
      <c r="I293" s="22">
        <f t="shared" si="97"/>
      </c>
      <c r="J293" s="30">
        <f t="shared" si="91"/>
      </c>
      <c r="K293" s="23">
        <f t="shared" si="98"/>
      </c>
      <c r="L293" s="29">
        <f t="shared" si="92"/>
      </c>
      <c r="M293" s="22">
        <f t="shared" si="93"/>
      </c>
      <c r="N293" s="23">
        <f t="shared" si="99"/>
      </c>
      <c r="O293" s="29">
        <f t="shared" si="83"/>
      </c>
      <c r="P293" s="22">
        <f t="shared" si="94"/>
      </c>
      <c r="Q293" s="23">
        <f t="shared" si="95"/>
      </c>
      <c r="R293" s="24">
        <f t="shared" si="96"/>
        <v>0</v>
      </c>
      <c r="S293" s="211">
        <f t="shared" si="85"/>
      </c>
      <c r="T293" s="39"/>
      <c r="AB293" s="136">
        <f t="shared" si="87"/>
      </c>
      <c r="AC293" s="136">
        <f t="shared" si="88"/>
      </c>
      <c r="AD293" s="136">
        <f t="shared" si="89"/>
      </c>
    </row>
    <row r="294" spans="6:30" ht="16.5" customHeight="1">
      <c r="F294" s="210">
        <f t="shared" si="90"/>
        <v>289</v>
      </c>
      <c r="G294" s="28">
        <f t="shared" si="86"/>
      </c>
      <c r="H294" s="29">
        <f t="shared" si="84"/>
      </c>
      <c r="I294" s="22">
        <f t="shared" si="97"/>
      </c>
      <c r="J294" s="30">
        <f t="shared" si="91"/>
      </c>
      <c r="K294" s="23">
        <f t="shared" si="98"/>
      </c>
      <c r="L294" s="29">
        <f t="shared" si="92"/>
      </c>
      <c r="M294" s="22">
        <f t="shared" si="93"/>
      </c>
      <c r="N294" s="23">
        <f t="shared" si="99"/>
      </c>
      <c r="O294" s="29">
        <f aca="true" t="shared" si="100" ref="O294:O357">IF(O293="","",IF(DATE(YEAR(D$43),MONTH(D$43)+1,DAY(0))&lt;=DATE(YEAR(O293),MONTH(O293)+1,DAY(0)),"",IF($D$41="末",DATE(YEAR(O293),MONTH(O293)+2,DAY(0)),DATE(YEAR(O293),MONTH(O293)+1,DAY(O293)))))</f>
      </c>
      <c r="P294" s="22">
        <f t="shared" si="94"/>
      </c>
      <c r="Q294" s="23">
        <f t="shared" si="95"/>
      </c>
      <c r="R294" s="24">
        <f t="shared" si="96"/>
        <v>0</v>
      </c>
      <c r="S294" s="211">
        <f t="shared" si="85"/>
      </c>
      <c r="T294" s="39"/>
      <c r="AB294" s="136">
        <f t="shared" si="87"/>
      </c>
      <c r="AC294" s="136">
        <f t="shared" si="88"/>
      </c>
      <c r="AD294" s="136">
        <f t="shared" si="89"/>
      </c>
    </row>
    <row r="295" spans="6:30" ht="16.5" customHeight="1">
      <c r="F295" s="210">
        <f t="shared" si="90"/>
        <v>290</v>
      </c>
      <c r="G295" s="28">
        <f t="shared" si="86"/>
      </c>
      <c r="H295" s="29">
        <f t="shared" si="84"/>
      </c>
      <c r="I295" s="22">
        <f t="shared" si="97"/>
      </c>
      <c r="J295" s="30">
        <f t="shared" si="91"/>
      </c>
      <c r="K295" s="23">
        <f t="shared" si="98"/>
      </c>
      <c r="L295" s="29">
        <f t="shared" si="92"/>
      </c>
      <c r="M295" s="22">
        <f t="shared" si="93"/>
      </c>
      <c r="N295" s="23">
        <f t="shared" si="99"/>
      </c>
      <c r="O295" s="29">
        <f t="shared" si="100"/>
      </c>
      <c r="P295" s="22">
        <f t="shared" si="94"/>
      </c>
      <c r="Q295" s="23">
        <f t="shared" si="95"/>
      </c>
      <c r="R295" s="24">
        <f t="shared" si="96"/>
        <v>0</v>
      </c>
      <c r="S295" s="211">
        <f t="shared" si="85"/>
      </c>
      <c r="T295" s="39"/>
      <c r="AB295" s="136">
        <f t="shared" si="87"/>
      </c>
      <c r="AC295" s="136">
        <f t="shared" si="88"/>
      </c>
      <c r="AD295" s="136">
        <f t="shared" si="89"/>
      </c>
    </row>
    <row r="296" spans="6:30" ht="16.5" customHeight="1">
      <c r="F296" s="210">
        <f t="shared" si="90"/>
        <v>291</v>
      </c>
      <c r="G296" s="28">
        <f t="shared" si="86"/>
      </c>
      <c r="H296" s="29">
        <f t="shared" si="84"/>
      </c>
      <c r="I296" s="22">
        <f t="shared" si="97"/>
      </c>
      <c r="J296" s="30">
        <f t="shared" si="91"/>
      </c>
      <c r="K296" s="23">
        <f t="shared" si="98"/>
      </c>
      <c r="L296" s="29">
        <f t="shared" si="92"/>
      </c>
      <c r="M296" s="22">
        <f t="shared" si="93"/>
      </c>
      <c r="N296" s="23">
        <f t="shared" si="99"/>
      </c>
      <c r="O296" s="29">
        <f t="shared" si="100"/>
      </c>
      <c r="P296" s="22">
        <f t="shared" si="94"/>
      </c>
      <c r="Q296" s="23">
        <f t="shared" si="95"/>
      </c>
      <c r="R296" s="24">
        <f t="shared" si="96"/>
        <v>0</v>
      </c>
      <c r="S296" s="211">
        <f t="shared" si="85"/>
      </c>
      <c r="T296" s="39"/>
      <c r="AB296" s="136">
        <f t="shared" si="87"/>
      </c>
      <c r="AC296" s="136">
        <f t="shared" si="88"/>
      </c>
      <c r="AD296" s="136">
        <f t="shared" si="89"/>
      </c>
    </row>
    <row r="297" spans="6:30" ht="16.5" customHeight="1">
      <c r="F297" s="210">
        <f t="shared" si="90"/>
        <v>292</v>
      </c>
      <c r="G297" s="28">
        <f t="shared" si="86"/>
      </c>
      <c r="H297" s="29">
        <f t="shared" si="84"/>
      </c>
      <c r="I297" s="22">
        <f t="shared" si="97"/>
      </c>
      <c r="J297" s="30">
        <f t="shared" si="91"/>
      </c>
      <c r="K297" s="23">
        <f t="shared" si="98"/>
      </c>
      <c r="L297" s="29">
        <f t="shared" si="92"/>
      </c>
      <c r="M297" s="22">
        <f t="shared" si="93"/>
      </c>
      <c r="N297" s="23">
        <f t="shared" si="99"/>
      </c>
      <c r="O297" s="29">
        <f t="shared" si="100"/>
      </c>
      <c r="P297" s="22">
        <f t="shared" si="94"/>
      </c>
      <c r="Q297" s="23">
        <f t="shared" si="95"/>
      </c>
      <c r="R297" s="24">
        <f t="shared" si="96"/>
        <v>0</v>
      </c>
      <c r="S297" s="211">
        <f t="shared" si="85"/>
      </c>
      <c r="T297" s="39"/>
      <c r="AB297" s="136">
        <f t="shared" si="87"/>
      </c>
      <c r="AC297" s="136">
        <f t="shared" si="88"/>
      </c>
      <c r="AD297" s="136">
        <f t="shared" si="89"/>
      </c>
    </row>
    <row r="298" spans="6:30" ht="16.5" customHeight="1">
      <c r="F298" s="210">
        <f t="shared" si="90"/>
        <v>293</v>
      </c>
      <c r="G298" s="28">
        <f t="shared" si="86"/>
      </c>
      <c r="H298" s="29">
        <f t="shared" si="84"/>
      </c>
      <c r="I298" s="22">
        <f t="shared" si="97"/>
      </c>
      <c r="J298" s="30">
        <f t="shared" si="91"/>
      </c>
      <c r="K298" s="23">
        <f t="shared" si="98"/>
      </c>
      <c r="L298" s="29">
        <f t="shared" si="92"/>
      </c>
      <c r="M298" s="22">
        <f t="shared" si="93"/>
      </c>
      <c r="N298" s="23">
        <f t="shared" si="99"/>
      </c>
      <c r="O298" s="29">
        <f t="shared" si="100"/>
      </c>
      <c r="P298" s="22">
        <f t="shared" si="94"/>
      </c>
      <c r="Q298" s="23">
        <f t="shared" si="95"/>
      </c>
      <c r="R298" s="24">
        <f t="shared" si="96"/>
        <v>0</v>
      </c>
      <c r="S298" s="211">
        <f t="shared" si="85"/>
      </c>
      <c r="T298" s="39"/>
      <c r="AB298" s="136">
        <f t="shared" si="87"/>
      </c>
      <c r="AC298" s="136">
        <f t="shared" si="88"/>
      </c>
      <c r="AD298" s="136">
        <f t="shared" si="89"/>
      </c>
    </row>
    <row r="299" spans="6:30" ht="16.5" customHeight="1">
      <c r="F299" s="210">
        <f t="shared" si="90"/>
        <v>294</v>
      </c>
      <c r="G299" s="28">
        <f t="shared" si="86"/>
      </c>
      <c r="H299" s="29">
        <f t="shared" si="84"/>
      </c>
      <c r="I299" s="22">
        <f t="shared" si="97"/>
      </c>
      <c r="J299" s="30">
        <f t="shared" si="91"/>
      </c>
      <c r="K299" s="23">
        <f t="shared" si="98"/>
      </c>
      <c r="L299" s="29">
        <f t="shared" si="92"/>
      </c>
      <c r="M299" s="22">
        <f t="shared" si="93"/>
      </c>
      <c r="N299" s="23">
        <f t="shared" si="99"/>
      </c>
      <c r="O299" s="29">
        <f t="shared" si="100"/>
      </c>
      <c r="P299" s="22">
        <f t="shared" si="94"/>
      </c>
      <c r="Q299" s="23">
        <f t="shared" si="95"/>
      </c>
      <c r="R299" s="24">
        <f t="shared" si="96"/>
        <v>0</v>
      </c>
      <c r="S299" s="211">
        <f t="shared" si="85"/>
      </c>
      <c r="T299" s="39"/>
      <c r="AB299" s="136">
        <f t="shared" si="87"/>
      </c>
      <c r="AC299" s="136">
        <f t="shared" si="88"/>
      </c>
      <c r="AD299" s="136">
        <f t="shared" si="89"/>
      </c>
    </row>
    <row r="300" spans="6:30" ht="16.5" customHeight="1">
      <c r="F300" s="210">
        <f t="shared" si="90"/>
        <v>295</v>
      </c>
      <c r="G300" s="28">
        <f t="shared" si="86"/>
      </c>
      <c r="H300" s="29">
        <f t="shared" si="84"/>
      </c>
      <c r="I300" s="22">
        <f t="shared" si="97"/>
      </c>
      <c r="J300" s="30">
        <f t="shared" si="91"/>
      </c>
      <c r="K300" s="23">
        <f t="shared" si="98"/>
      </c>
      <c r="L300" s="29">
        <f t="shared" si="92"/>
      </c>
      <c r="M300" s="22">
        <f t="shared" si="93"/>
      </c>
      <c r="N300" s="23">
        <f t="shared" si="99"/>
      </c>
      <c r="O300" s="29">
        <f t="shared" si="100"/>
      </c>
      <c r="P300" s="22">
        <f t="shared" si="94"/>
      </c>
      <c r="Q300" s="23">
        <f t="shared" si="95"/>
      </c>
      <c r="R300" s="24">
        <f t="shared" si="96"/>
        <v>0</v>
      </c>
      <c r="S300" s="211">
        <f t="shared" si="85"/>
      </c>
      <c r="T300" s="39"/>
      <c r="AB300" s="136">
        <f t="shared" si="87"/>
      </c>
      <c r="AC300" s="136">
        <f t="shared" si="88"/>
      </c>
      <c r="AD300" s="136">
        <f t="shared" si="89"/>
      </c>
    </row>
    <row r="301" spans="6:30" ht="16.5" customHeight="1">
      <c r="F301" s="210">
        <f t="shared" si="90"/>
        <v>296</v>
      </c>
      <c r="G301" s="28">
        <f t="shared" si="86"/>
      </c>
      <c r="H301" s="29">
        <f t="shared" si="84"/>
      </c>
      <c r="I301" s="22">
        <f t="shared" si="97"/>
      </c>
      <c r="J301" s="30">
        <f t="shared" si="91"/>
      </c>
      <c r="K301" s="23">
        <f t="shared" si="98"/>
      </c>
      <c r="L301" s="29">
        <f t="shared" si="92"/>
      </c>
      <c r="M301" s="22">
        <f t="shared" si="93"/>
      </c>
      <c r="N301" s="23">
        <f t="shared" si="99"/>
      </c>
      <c r="O301" s="29">
        <f t="shared" si="100"/>
      </c>
      <c r="P301" s="22">
        <f t="shared" si="94"/>
      </c>
      <c r="Q301" s="23">
        <f t="shared" si="95"/>
      </c>
      <c r="R301" s="24">
        <f t="shared" si="96"/>
        <v>0</v>
      </c>
      <c r="S301" s="211">
        <f t="shared" si="85"/>
      </c>
      <c r="T301" s="39"/>
      <c r="AB301" s="136">
        <f t="shared" si="87"/>
      </c>
      <c r="AC301" s="136">
        <f t="shared" si="88"/>
      </c>
      <c r="AD301" s="136">
        <f t="shared" si="89"/>
      </c>
    </row>
    <row r="302" spans="6:30" ht="16.5" customHeight="1">
      <c r="F302" s="210">
        <f t="shared" si="90"/>
        <v>297</v>
      </c>
      <c r="G302" s="28">
        <f t="shared" si="86"/>
      </c>
      <c r="H302" s="29">
        <f t="shared" si="84"/>
      </c>
      <c r="I302" s="22">
        <f t="shared" si="97"/>
      </c>
      <c r="J302" s="30">
        <f t="shared" si="91"/>
      </c>
      <c r="K302" s="23">
        <f t="shared" si="98"/>
      </c>
      <c r="L302" s="29">
        <f t="shared" si="92"/>
      </c>
      <c r="M302" s="22">
        <f t="shared" si="93"/>
      </c>
      <c r="N302" s="23">
        <f t="shared" si="99"/>
      </c>
      <c r="O302" s="29">
        <f t="shared" si="100"/>
      </c>
      <c r="P302" s="22">
        <f t="shared" si="94"/>
      </c>
      <c r="Q302" s="23">
        <f t="shared" si="95"/>
      </c>
      <c r="R302" s="24">
        <f t="shared" si="96"/>
        <v>0</v>
      </c>
      <c r="S302" s="211">
        <f t="shared" si="85"/>
      </c>
      <c r="T302" s="39"/>
      <c r="AB302" s="136">
        <f t="shared" si="87"/>
      </c>
      <c r="AC302" s="136">
        <f t="shared" si="88"/>
      </c>
      <c r="AD302" s="136">
        <f t="shared" si="89"/>
      </c>
    </row>
    <row r="303" spans="6:30" ht="16.5" customHeight="1">
      <c r="F303" s="210">
        <f t="shared" si="90"/>
        <v>298</v>
      </c>
      <c r="G303" s="28">
        <f t="shared" si="86"/>
      </c>
      <c r="H303" s="29">
        <f t="shared" si="84"/>
      </c>
      <c r="I303" s="22">
        <f t="shared" si="97"/>
      </c>
      <c r="J303" s="30">
        <f t="shared" si="91"/>
      </c>
      <c r="K303" s="23">
        <f t="shared" si="98"/>
      </c>
      <c r="L303" s="29">
        <f t="shared" si="92"/>
      </c>
      <c r="M303" s="22">
        <f t="shared" si="93"/>
      </c>
      <c r="N303" s="23">
        <f t="shared" si="99"/>
      </c>
      <c r="O303" s="29">
        <f t="shared" si="100"/>
      </c>
      <c r="P303" s="22">
        <f t="shared" si="94"/>
      </c>
      <c r="Q303" s="23">
        <f t="shared" si="95"/>
      </c>
      <c r="R303" s="24">
        <f t="shared" si="96"/>
        <v>0</v>
      </c>
      <c r="S303" s="211">
        <f t="shared" si="85"/>
      </c>
      <c r="T303" s="39"/>
      <c r="AB303" s="136">
        <f t="shared" si="87"/>
      </c>
      <c r="AC303" s="136">
        <f t="shared" si="88"/>
      </c>
      <c r="AD303" s="136">
        <f t="shared" si="89"/>
      </c>
    </row>
    <row r="304" spans="6:30" ht="16.5" customHeight="1">
      <c r="F304" s="210">
        <f t="shared" si="90"/>
        <v>299</v>
      </c>
      <c r="G304" s="28">
        <f t="shared" si="86"/>
      </c>
      <c r="H304" s="29">
        <f t="shared" si="84"/>
      </c>
      <c r="I304" s="22">
        <f t="shared" si="97"/>
      </c>
      <c r="J304" s="30">
        <f t="shared" si="91"/>
      </c>
      <c r="K304" s="23">
        <f t="shared" si="98"/>
      </c>
      <c r="L304" s="29">
        <f t="shared" si="92"/>
      </c>
      <c r="M304" s="22">
        <f t="shared" si="93"/>
      </c>
      <c r="N304" s="23">
        <f t="shared" si="99"/>
      </c>
      <c r="O304" s="29">
        <f t="shared" si="100"/>
      </c>
      <c r="P304" s="22">
        <f t="shared" si="94"/>
      </c>
      <c r="Q304" s="23">
        <f t="shared" si="95"/>
      </c>
      <c r="R304" s="24">
        <f t="shared" si="96"/>
        <v>0</v>
      </c>
      <c r="S304" s="211">
        <f t="shared" si="85"/>
      </c>
      <c r="T304" s="39"/>
      <c r="AB304" s="136">
        <f t="shared" si="87"/>
      </c>
      <c r="AC304" s="136">
        <f t="shared" si="88"/>
      </c>
      <c r="AD304" s="136">
        <f t="shared" si="89"/>
      </c>
    </row>
    <row r="305" spans="6:30" ht="16.5" customHeight="1">
      <c r="F305" s="210">
        <f t="shared" si="90"/>
        <v>300</v>
      </c>
      <c r="G305" s="28">
        <f t="shared" si="86"/>
      </c>
      <c r="H305" s="29">
        <f t="shared" si="84"/>
      </c>
      <c r="I305" s="22">
        <f t="shared" si="97"/>
      </c>
      <c r="J305" s="30">
        <f t="shared" si="91"/>
      </c>
      <c r="K305" s="23">
        <f t="shared" si="98"/>
      </c>
      <c r="L305" s="29">
        <f t="shared" si="92"/>
      </c>
      <c r="M305" s="22">
        <f t="shared" si="93"/>
      </c>
      <c r="N305" s="23">
        <f t="shared" si="99"/>
      </c>
      <c r="O305" s="29">
        <f t="shared" si="100"/>
      </c>
      <c r="P305" s="22">
        <f t="shared" si="94"/>
      </c>
      <c r="Q305" s="23">
        <f t="shared" si="95"/>
      </c>
      <c r="R305" s="24">
        <f t="shared" si="96"/>
        <v>0</v>
      </c>
      <c r="S305" s="211">
        <f t="shared" si="85"/>
      </c>
      <c r="T305" s="39"/>
      <c r="AB305" s="136">
        <f t="shared" si="87"/>
      </c>
      <c r="AC305" s="136">
        <f t="shared" si="88"/>
      </c>
      <c r="AD305" s="136">
        <f t="shared" si="89"/>
      </c>
    </row>
    <row r="306" spans="6:30" ht="16.5" customHeight="1">
      <c r="F306" s="210">
        <f t="shared" si="90"/>
        <v>301</v>
      </c>
      <c r="G306" s="28">
        <f t="shared" si="86"/>
      </c>
      <c r="H306" s="29">
        <f t="shared" si="84"/>
      </c>
      <c r="I306" s="22">
        <f t="shared" si="97"/>
      </c>
      <c r="J306" s="30">
        <f t="shared" si="91"/>
      </c>
      <c r="K306" s="23">
        <f t="shared" si="98"/>
      </c>
      <c r="L306" s="29">
        <f t="shared" si="92"/>
      </c>
      <c r="M306" s="22">
        <f t="shared" si="93"/>
      </c>
      <c r="N306" s="23">
        <f t="shared" si="99"/>
      </c>
      <c r="O306" s="29">
        <f t="shared" si="100"/>
      </c>
      <c r="P306" s="22">
        <f t="shared" si="94"/>
      </c>
      <c r="Q306" s="23">
        <f t="shared" si="95"/>
      </c>
      <c r="R306" s="24">
        <f t="shared" si="96"/>
        <v>0</v>
      </c>
      <c r="S306" s="211">
        <f t="shared" si="85"/>
      </c>
      <c r="T306" s="39"/>
      <c r="AB306" s="136">
        <f t="shared" si="87"/>
      </c>
      <c r="AC306" s="136">
        <f t="shared" si="88"/>
      </c>
      <c r="AD306" s="136">
        <f t="shared" si="89"/>
      </c>
    </row>
    <row r="307" spans="6:30" ht="16.5" customHeight="1">
      <c r="F307" s="210">
        <f t="shared" si="90"/>
        <v>302</v>
      </c>
      <c r="G307" s="28">
        <f t="shared" si="86"/>
      </c>
      <c r="H307" s="29">
        <f t="shared" si="84"/>
      </c>
      <c r="I307" s="22">
        <f t="shared" si="97"/>
      </c>
      <c r="J307" s="30">
        <f t="shared" si="91"/>
      </c>
      <c r="K307" s="23">
        <f t="shared" si="98"/>
      </c>
      <c r="L307" s="29">
        <f t="shared" si="92"/>
      </c>
      <c r="M307" s="22">
        <f t="shared" si="93"/>
      </c>
      <c r="N307" s="23">
        <f t="shared" si="99"/>
      </c>
      <c r="O307" s="29">
        <f t="shared" si="100"/>
      </c>
      <c r="P307" s="22">
        <f t="shared" si="94"/>
      </c>
      <c r="Q307" s="23">
        <f t="shared" si="95"/>
      </c>
      <c r="R307" s="24">
        <f t="shared" si="96"/>
        <v>0</v>
      </c>
      <c r="S307" s="211">
        <f t="shared" si="85"/>
      </c>
      <c r="T307" s="39"/>
      <c r="AB307" s="136">
        <f t="shared" si="87"/>
      </c>
      <c r="AC307" s="136">
        <f t="shared" si="88"/>
      </c>
      <c r="AD307" s="136">
        <f t="shared" si="89"/>
      </c>
    </row>
    <row r="308" spans="6:30" ht="16.5" customHeight="1">
      <c r="F308" s="210">
        <f t="shared" si="90"/>
        <v>303</v>
      </c>
      <c r="G308" s="28">
        <f t="shared" si="86"/>
      </c>
      <c r="H308" s="29">
        <f t="shared" si="84"/>
      </c>
      <c r="I308" s="22">
        <f t="shared" si="97"/>
      </c>
      <c r="J308" s="30">
        <f t="shared" si="91"/>
      </c>
      <c r="K308" s="23">
        <f t="shared" si="98"/>
      </c>
      <c r="L308" s="29">
        <f t="shared" si="92"/>
      </c>
      <c r="M308" s="22">
        <f t="shared" si="93"/>
      </c>
      <c r="N308" s="23">
        <f t="shared" si="99"/>
      </c>
      <c r="O308" s="29">
        <f t="shared" si="100"/>
      </c>
      <c r="P308" s="22">
        <f t="shared" si="94"/>
      </c>
      <c r="Q308" s="23">
        <f t="shared" si="95"/>
      </c>
      <c r="R308" s="24">
        <f t="shared" si="96"/>
        <v>0</v>
      </c>
      <c r="S308" s="211">
        <f t="shared" si="85"/>
      </c>
      <c r="T308" s="39"/>
      <c r="AB308" s="136">
        <f t="shared" si="87"/>
      </c>
      <c r="AC308" s="136">
        <f t="shared" si="88"/>
      </c>
      <c r="AD308" s="136">
        <f t="shared" si="89"/>
      </c>
    </row>
    <row r="309" spans="6:30" ht="16.5" customHeight="1">
      <c r="F309" s="210">
        <f t="shared" si="90"/>
        <v>304</v>
      </c>
      <c r="G309" s="28">
        <f t="shared" si="86"/>
      </c>
      <c r="H309" s="29">
        <f t="shared" si="84"/>
      </c>
      <c r="I309" s="22">
        <f t="shared" si="97"/>
      </c>
      <c r="J309" s="30">
        <f t="shared" si="91"/>
      </c>
      <c r="K309" s="23">
        <f t="shared" si="98"/>
      </c>
      <c r="L309" s="29">
        <f t="shared" si="92"/>
      </c>
      <c r="M309" s="22">
        <f t="shared" si="93"/>
      </c>
      <c r="N309" s="23">
        <f t="shared" si="99"/>
      </c>
      <c r="O309" s="29">
        <f t="shared" si="100"/>
      </c>
      <c r="P309" s="22">
        <f t="shared" si="94"/>
      </c>
      <c r="Q309" s="23">
        <f t="shared" si="95"/>
      </c>
      <c r="R309" s="24">
        <f t="shared" si="96"/>
        <v>0</v>
      </c>
      <c r="S309" s="211">
        <f t="shared" si="85"/>
      </c>
      <c r="T309" s="39"/>
      <c r="AB309" s="136">
        <f t="shared" si="87"/>
      </c>
      <c r="AC309" s="136">
        <f t="shared" si="88"/>
      </c>
      <c r="AD309" s="136">
        <f t="shared" si="89"/>
      </c>
    </row>
    <row r="310" spans="6:30" ht="16.5" customHeight="1">
      <c r="F310" s="210">
        <f t="shared" si="90"/>
        <v>305</v>
      </c>
      <c r="G310" s="28">
        <f t="shared" si="86"/>
      </c>
      <c r="H310" s="29">
        <f t="shared" si="84"/>
      </c>
      <c r="I310" s="22">
        <f t="shared" si="97"/>
      </c>
      <c r="J310" s="30">
        <f t="shared" si="91"/>
      </c>
      <c r="K310" s="23">
        <f t="shared" si="98"/>
      </c>
      <c r="L310" s="29">
        <f t="shared" si="92"/>
      </c>
      <c r="M310" s="22">
        <f t="shared" si="93"/>
      </c>
      <c r="N310" s="23">
        <f t="shared" si="99"/>
      </c>
      <c r="O310" s="29">
        <f t="shared" si="100"/>
      </c>
      <c r="P310" s="22">
        <f t="shared" si="94"/>
      </c>
      <c r="Q310" s="23">
        <f t="shared" si="95"/>
      </c>
      <c r="R310" s="24">
        <f t="shared" si="96"/>
        <v>0</v>
      </c>
      <c r="S310" s="211">
        <f t="shared" si="85"/>
      </c>
      <c r="T310" s="39"/>
      <c r="AB310" s="136">
        <f t="shared" si="87"/>
      </c>
      <c r="AC310" s="136">
        <f t="shared" si="88"/>
      </c>
      <c r="AD310" s="136">
        <f t="shared" si="89"/>
      </c>
    </row>
    <row r="311" spans="6:30" ht="16.5" customHeight="1">
      <c r="F311" s="210">
        <f t="shared" si="90"/>
        <v>306</v>
      </c>
      <c r="G311" s="28">
        <f t="shared" si="86"/>
      </c>
      <c r="H311" s="29">
        <f aca="true" t="shared" si="101" ref="H311:H374">IF(H310="","",IF(G311&gt;DATE(YEAR(D$11),MONTH(D$11)+1,0),"",IF(DAY(G311)&lt;&gt;D$9,DATE(YEAR(G311),MONTH(G311)+1,0),G311)))</f>
      </c>
      <c r="I311" s="22">
        <f t="shared" si="97"/>
      </c>
      <c r="J311" s="30">
        <f t="shared" si="91"/>
      </c>
      <c r="K311" s="23">
        <f t="shared" si="98"/>
      </c>
      <c r="L311" s="29">
        <f t="shared" si="92"/>
      </c>
      <c r="M311" s="22">
        <f t="shared" si="93"/>
      </c>
      <c r="N311" s="23">
        <f t="shared" si="99"/>
      </c>
      <c r="O311" s="29">
        <f t="shared" si="100"/>
      </c>
      <c r="P311" s="22">
        <f t="shared" si="94"/>
      </c>
      <c r="Q311" s="23">
        <f t="shared" si="95"/>
      </c>
      <c r="R311" s="24">
        <f t="shared" si="96"/>
        <v>0</v>
      </c>
      <c r="S311" s="211">
        <f t="shared" si="85"/>
      </c>
      <c r="T311" s="39"/>
      <c r="AB311" s="136">
        <f t="shared" si="87"/>
      </c>
      <c r="AC311" s="136">
        <f t="shared" si="88"/>
      </c>
      <c r="AD311" s="136">
        <f t="shared" si="89"/>
      </c>
    </row>
    <row r="312" spans="6:30" ht="16.5" customHeight="1">
      <c r="F312" s="210">
        <f t="shared" si="90"/>
        <v>307</v>
      </c>
      <c r="G312" s="28">
        <f t="shared" si="86"/>
      </c>
      <c r="H312" s="29">
        <f t="shared" si="101"/>
      </c>
      <c r="I312" s="22">
        <f t="shared" si="97"/>
      </c>
      <c r="J312" s="30">
        <f t="shared" si="91"/>
      </c>
      <c r="K312" s="23">
        <f t="shared" si="98"/>
      </c>
      <c r="L312" s="29">
        <f t="shared" si="92"/>
      </c>
      <c r="M312" s="22">
        <f t="shared" si="93"/>
      </c>
      <c r="N312" s="23">
        <f t="shared" si="99"/>
      </c>
      <c r="O312" s="29">
        <f t="shared" si="100"/>
      </c>
      <c r="P312" s="22">
        <f t="shared" si="94"/>
      </c>
      <c r="Q312" s="23">
        <f t="shared" si="95"/>
      </c>
      <c r="R312" s="24">
        <f t="shared" si="96"/>
        <v>0</v>
      </c>
      <c r="S312" s="211">
        <f t="shared" si="85"/>
      </c>
      <c r="T312" s="39"/>
      <c r="AB312" s="136">
        <f t="shared" si="87"/>
      </c>
      <c r="AC312" s="136">
        <f t="shared" si="88"/>
      </c>
      <c r="AD312" s="136">
        <f t="shared" si="89"/>
      </c>
    </row>
    <row r="313" spans="6:30" ht="16.5" customHeight="1">
      <c r="F313" s="210">
        <f t="shared" si="90"/>
        <v>308</v>
      </c>
      <c r="G313" s="28">
        <f t="shared" si="86"/>
      </c>
      <c r="H313" s="29">
        <f t="shared" si="101"/>
      </c>
      <c r="I313" s="22">
        <f t="shared" si="97"/>
      </c>
      <c r="J313" s="30">
        <f t="shared" si="91"/>
      </c>
      <c r="K313" s="23">
        <f t="shared" si="98"/>
      </c>
      <c r="L313" s="29">
        <f t="shared" si="92"/>
      </c>
      <c r="M313" s="22">
        <f t="shared" si="93"/>
      </c>
      <c r="N313" s="23">
        <f t="shared" si="99"/>
      </c>
      <c r="O313" s="29">
        <f t="shared" si="100"/>
      </c>
      <c r="P313" s="22">
        <f t="shared" si="94"/>
      </c>
      <c r="Q313" s="23">
        <f t="shared" si="95"/>
      </c>
      <c r="R313" s="24">
        <f t="shared" si="96"/>
        <v>0</v>
      </c>
      <c r="S313" s="211">
        <f t="shared" si="85"/>
      </c>
      <c r="T313" s="39"/>
      <c r="AB313" s="136">
        <f t="shared" si="87"/>
      </c>
      <c r="AC313" s="136">
        <f t="shared" si="88"/>
      </c>
      <c r="AD313" s="136">
        <f t="shared" si="89"/>
      </c>
    </row>
    <row r="314" spans="6:30" ht="16.5" customHeight="1">
      <c r="F314" s="210">
        <f t="shared" si="90"/>
        <v>309</v>
      </c>
      <c r="G314" s="28">
        <f t="shared" si="86"/>
      </c>
      <c r="H314" s="29">
        <f t="shared" si="101"/>
      </c>
      <c r="I314" s="22">
        <f t="shared" si="97"/>
      </c>
      <c r="J314" s="30">
        <f t="shared" si="91"/>
      </c>
      <c r="K314" s="23">
        <f t="shared" si="98"/>
      </c>
      <c r="L314" s="29">
        <f t="shared" si="92"/>
      </c>
      <c r="M314" s="22">
        <f t="shared" si="93"/>
      </c>
      <c r="N314" s="23">
        <f t="shared" si="99"/>
      </c>
      <c r="O314" s="29">
        <f t="shared" si="100"/>
      </c>
      <c r="P314" s="22">
        <f t="shared" si="94"/>
      </c>
      <c r="Q314" s="23">
        <f t="shared" si="95"/>
      </c>
      <c r="R314" s="24">
        <f t="shared" si="96"/>
        <v>0</v>
      </c>
      <c r="S314" s="211">
        <f t="shared" si="85"/>
      </c>
      <c r="T314" s="39"/>
      <c r="AB314" s="136">
        <f t="shared" si="87"/>
      </c>
      <c r="AC314" s="136">
        <f t="shared" si="88"/>
      </c>
      <c r="AD314" s="136">
        <f t="shared" si="89"/>
      </c>
    </row>
    <row r="315" spans="6:30" ht="16.5" customHeight="1">
      <c r="F315" s="210">
        <f t="shared" si="90"/>
        <v>310</v>
      </c>
      <c r="G315" s="28">
        <f t="shared" si="86"/>
      </c>
      <c r="H315" s="29">
        <f t="shared" si="101"/>
      </c>
      <c r="I315" s="22">
        <f t="shared" si="97"/>
      </c>
      <c r="J315" s="30">
        <f t="shared" si="91"/>
      </c>
      <c r="K315" s="23">
        <f t="shared" si="98"/>
      </c>
      <c r="L315" s="29">
        <f t="shared" si="92"/>
      </c>
      <c r="M315" s="22">
        <f t="shared" si="93"/>
      </c>
      <c r="N315" s="23">
        <f t="shared" si="99"/>
      </c>
      <c r="O315" s="29">
        <f t="shared" si="100"/>
      </c>
      <c r="P315" s="22">
        <f t="shared" si="94"/>
      </c>
      <c r="Q315" s="23">
        <f t="shared" si="95"/>
      </c>
      <c r="R315" s="24">
        <f t="shared" si="96"/>
        <v>0</v>
      </c>
      <c r="S315" s="211">
        <f t="shared" si="85"/>
      </c>
      <c r="T315" s="39"/>
      <c r="AB315" s="136">
        <f t="shared" si="87"/>
      </c>
      <c r="AC315" s="136">
        <f t="shared" si="88"/>
      </c>
      <c r="AD315" s="136">
        <f t="shared" si="89"/>
      </c>
    </row>
    <row r="316" spans="6:30" ht="16.5" customHeight="1">
      <c r="F316" s="210">
        <f t="shared" si="90"/>
        <v>311</v>
      </c>
      <c r="G316" s="28">
        <f t="shared" si="86"/>
      </c>
      <c r="H316" s="29">
        <f t="shared" si="101"/>
      </c>
      <c r="I316" s="22">
        <f t="shared" si="97"/>
      </c>
      <c r="J316" s="30">
        <f t="shared" si="91"/>
      </c>
      <c r="K316" s="23">
        <f t="shared" si="98"/>
      </c>
      <c r="L316" s="29">
        <f t="shared" si="92"/>
      </c>
      <c r="M316" s="22">
        <f t="shared" si="93"/>
      </c>
      <c r="N316" s="23">
        <f t="shared" si="99"/>
      </c>
      <c r="O316" s="29">
        <f t="shared" si="100"/>
      </c>
      <c r="P316" s="22">
        <f t="shared" si="94"/>
      </c>
      <c r="Q316" s="23">
        <f t="shared" si="95"/>
      </c>
      <c r="R316" s="24">
        <f t="shared" si="96"/>
        <v>0</v>
      </c>
      <c r="S316" s="211">
        <f t="shared" si="85"/>
      </c>
      <c r="T316" s="39"/>
      <c r="AB316" s="136">
        <f t="shared" si="87"/>
      </c>
      <c r="AC316" s="136">
        <f t="shared" si="88"/>
      </c>
      <c r="AD316" s="136">
        <f t="shared" si="89"/>
      </c>
    </row>
    <row r="317" spans="6:30" ht="16.5" customHeight="1">
      <c r="F317" s="210">
        <f t="shared" si="90"/>
        <v>312</v>
      </c>
      <c r="G317" s="28">
        <f t="shared" si="86"/>
      </c>
      <c r="H317" s="29">
        <f t="shared" si="101"/>
      </c>
      <c r="I317" s="22">
        <f t="shared" si="97"/>
      </c>
      <c r="J317" s="30">
        <f t="shared" si="91"/>
      </c>
      <c r="K317" s="23">
        <f t="shared" si="98"/>
      </c>
      <c r="L317" s="29">
        <f t="shared" si="92"/>
      </c>
      <c r="M317" s="22">
        <f t="shared" si="93"/>
      </c>
      <c r="N317" s="23">
        <f t="shared" si="99"/>
      </c>
      <c r="O317" s="29">
        <f t="shared" si="100"/>
      </c>
      <c r="P317" s="22">
        <f t="shared" si="94"/>
      </c>
      <c r="Q317" s="23">
        <f t="shared" si="95"/>
      </c>
      <c r="R317" s="24">
        <f t="shared" si="96"/>
        <v>0</v>
      </c>
      <c r="S317" s="211">
        <f t="shared" si="85"/>
      </c>
      <c r="T317" s="39"/>
      <c r="AB317" s="136">
        <f t="shared" si="87"/>
      </c>
      <c r="AC317" s="136">
        <f t="shared" si="88"/>
      </c>
      <c r="AD317" s="136">
        <f t="shared" si="89"/>
      </c>
    </row>
    <row r="318" spans="6:30" ht="16.5" customHeight="1">
      <c r="F318" s="210">
        <f t="shared" si="90"/>
        <v>313</v>
      </c>
      <c r="G318" s="28">
        <f t="shared" si="86"/>
      </c>
      <c r="H318" s="29">
        <f t="shared" si="101"/>
      </c>
      <c r="I318" s="22">
        <f t="shared" si="97"/>
      </c>
      <c r="J318" s="30">
        <f t="shared" si="91"/>
      </c>
      <c r="K318" s="23">
        <f t="shared" si="98"/>
      </c>
      <c r="L318" s="29">
        <f t="shared" si="92"/>
      </c>
      <c r="M318" s="22">
        <f t="shared" si="93"/>
      </c>
      <c r="N318" s="23">
        <f t="shared" si="99"/>
      </c>
      <c r="O318" s="29">
        <f t="shared" si="100"/>
      </c>
      <c r="P318" s="22">
        <f t="shared" si="94"/>
      </c>
      <c r="Q318" s="23">
        <f t="shared" si="95"/>
      </c>
      <c r="R318" s="24">
        <f t="shared" si="96"/>
        <v>0</v>
      </c>
      <c r="S318" s="211">
        <f t="shared" si="85"/>
      </c>
      <c r="T318" s="39"/>
      <c r="AB318" s="136">
        <f t="shared" si="87"/>
      </c>
      <c r="AC318" s="136">
        <f t="shared" si="88"/>
      </c>
      <c r="AD318" s="136">
        <f t="shared" si="89"/>
      </c>
    </row>
    <row r="319" spans="6:30" ht="16.5" customHeight="1">
      <c r="F319" s="210">
        <f t="shared" si="90"/>
        <v>314</v>
      </c>
      <c r="G319" s="28">
        <f t="shared" si="86"/>
      </c>
      <c r="H319" s="29">
        <f t="shared" si="101"/>
      </c>
      <c r="I319" s="22">
        <f t="shared" si="97"/>
      </c>
      <c r="J319" s="30">
        <f t="shared" si="91"/>
      </c>
      <c r="K319" s="23">
        <f t="shared" si="98"/>
      </c>
      <c r="L319" s="29">
        <f t="shared" si="92"/>
      </c>
      <c r="M319" s="22">
        <f t="shared" si="93"/>
      </c>
      <c r="N319" s="23">
        <f t="shared" si="99"/>
      </c>
      <c r="O319" s="29">
        <f t="shared" si="100"/>
      </c>
      <c r="P319" s="22">
        <f t="shared" si="94"/>
      </c>
      <c r="Q319" s="23">
        <f t="shared" si="95"/>
      </c>
      <c r="R319" s="24">
        <f t="shared" si="96"/>
        <v>0</v>
      </c>
      <c r="S319" s="211">
        <f t="shared" si="85"/>
      </c>
      <c r="T319" s="39"/>
      <c r="AB319" s="136">
        <f t="shared" si="87"/>
      </c>
      <c r="AC319" s="136">
        <f t="shared" si="88"/>
      </c>
      <c r="AD319" s="136">
        <f t="shared" si="89"/>
      </c>
    </row>
    <row r="320" spans="6:30" ht="16.5" customHeight="1">
      <c r="F320" s="210">
        <f t="shared" si="90"/>
        <v>315</v>
      </c>
      <c r="G320" s="28">
        <f t="shared" si="86"/>
      </c>
      <c r="H320" s="29">
        <f t="shared" si="101"/>
      </c>
      <c r="I320" s="22">
        <f t="shared" si="97"/>
      </c>
      <c r="J320" s="30">
        <f t="shared" si="91"/>
      </c>
      <c r="K320" s="23">
        <f t="shared" si="98"/>
      </c>
      <c r="L320" s="29">
        <f t="shared" si="92"/>
      </c>
      <c r="M320" s="22">
        <f t="shared" si="93"/>
      </c>
      <c r="N320" s="23">
        <f t="shared" si="99"/>
      </c>
      <c r="O320" s="29">
        <f t="shared" si="100"/>
      </c>
      <c r="P320" s="22">
        <f t="shared" si="94"/>
      </c>
      <c r="Q320" s="23">
        <f t="shared" si="95"/>
      </c>
      <c r="R320" s="24">
        <f t="shared" si="96"/>
        <v>0</v>
      </c>
      <c r="S320" s="211">
        <f t="shared" si="85"/>
      </c>
      <c r="T320" s="39"/>
      <c r="AB320" s="136">
        <f t="shared" si="87"/>
      </c>
      <c r="AC320" s="136">
        <f t="shared" si="88"/>
      </c>
      <c r="AD320" s="136">
        <f t="shared" si="89"/>
      </c>
    </row>
    <row r="321" spans="6:30" ht="16.5" customHeight="1">
      <c r="F321" s="210">
        <f t="shared" si="90"/>
        <v>316</v>
      </c>
      <c r="G321" s="28">
        <f t="shared" si="86"/>
      </c>
      <c r="H321" s="29">
        <f t="shared" si="101"/>
      </c>
      <c r="I321" s="22">
        <f t="shared" si="97"/>
      </c>
      <c r="J321" s="30">
        <f t="shared" si="91"/>
      </c>
      <c r="K321" s="23">
        <f t="shared" si="98"/>
      </c>
      <c r="L321" s="29">
        <f t="shared" si="92"/>
      </c>
      <c r="M321" s="22">
        <f t="shared" si="93"/>
      </c>
      <c r="N321" s="23">
        <f t="shared" si="99"/>
      </c>
      <c r="O321" s="29">
        <f t="shared" si="100"/>
      </c>
      <c r="P321" s="22">
        <f t="shared" si="94"/>
      </c>
      <c r="Q321" s="23">
        <f t="shared" si="95"/>
      </c>
      <c r="R321" s="24">
        <f t="shared" si="96"/>
        <v>0</v>
      </c>
      <c r="S321" s="211">
        <f t="shared" si="85"/>
      </c>
      <c r="T321" s="39"/>
      <c r="AB321" s="136">
        <f t="shared" si="87"/>
      </c>
      <c r="AC321" s="136">
        <f t="shared" si="88"/>
      </c>
      <c r="AD321" s="136">
        <f t="shared" si="89"/>
      </c>
    </row>
    <row r="322" spans="6:30" ht="16.5" customHeight="1">
      <c r="F322" s="210">
        <f t="shared" si="90"/>
        <v>317</v>
      </c>
      <c r="G322" s="28">
        <f t="shared" si="86"/>
      </c>
      <c r="H322" s="29">
        <f t="shared" si="101"/>
      </c>
      <c r="I322" s="22">
        <f t="shared" si="97"/>
      </c>
      <c r="J322" s="30">
        <f t="shared" si="91"/>
      </c>
      <c r="K322" s="23">
        <f t="shared" si="98"/>
      </c>
      <c r="L322" s="29">
        <f t="shared" si="92"/>
      </c>
      <c r="M322" s="22">
        <f t="shared" si="93"/>
      </c>
      <c r="N322" s="23">
        <f t="shared" si="99"/>
      </c>
      <c r="O322" s="29">
        <f t="shared" si="100"/>
      </c>
      <c r="P322" s="22">
        <f t="shared" si="94"/>
      </c>
      <c r="Q322" s="23">
        <f t="shared" si="95"/>
      </c>
      <c r="R322" s="24">
        <f t="shared" si="96"/>
        <v>0</v>
      </c>
      <c r="S322" s="211">
        <f t="shared" si="85"/>
      </c>
      <c r="T322" s="39"/>
      <c r="AB322" s="136">
        <f t="shared" si="87"/>
      </c>
      <c r="AC322" s="136">
        <f t="shared" si="88"/>
      </c>
      <c r="AD322" s="136">
        <f t="shared" si="89"/>
      </c>
    </row>
    <row r="323" spans="6:30" ht="16.5" customHeight="1">
      <c r="F323" s="210">
        <f t="shared" si="90"/>
        <v>318</v>
      </c>
      <c r="G323" s="28">
        <f t="shared" si="86"/>
      </c>
      <c r="H323" s="29">
        <f t="shared" si="101"/>
      </c>
      <c r="I323" s="22">
        <f t="shared" si="97"/>
      </c>
      <c r="J323" s="30">
        <f t="shared" si="91"/>
      </c>
      <c r="K323" s="23">
        <f t="shared" si="98"/>
      </c>
      <c r="L323" s="29">
        <f t="shared" si="92"/>
      </c>
      <c r="M323" s="22">
        <f t="shared" si="93"/>
      </c>
      <c r="N323" s="23">
        <f t="shared" si="99"/>
      </c>
      <c r="O323" s="29">
        <f t="shared" si="100"/>
      </c>
      <c r="P323" s="22">
        <f t="shared" si="94"/>
      </c>
      <c r="Q323" s="23">
        <f t="shared" si="95"/>
      </c>
      <c r="R323" s="24">
        <f t="shared" si="96"/>
        <v>0</v>
      </c>
      <c r="S323" s="211">
        <f t="shared" si="85"/>
      </c>
      <c r="T323" s="39"/>
      <c r="AB323" s="136">
        <f t="shared" si="87"/>
      </c>
      <c r="AC323" s="136">
        <f t="shared" si="88"/>
      </c>
      <c r="AD323" s="136">
        <f t="shared" si="89"/>
      </c>
    </row>
    <row r="324" spans="6:30" ht="16.5" customHeight="1">
      <c r="F324" s="210">
        <f t="shared" si="90"/>
        <v>319</v>
      </c>
      <c r="G324" s="28">
        <f t="shared" si="86"/>
      </c>
      <c r="H324" s="29">
        <f t="shared" si="101"/>
      </c>
      <c r="I324" s="22">
        <f t="shared" si="97"/>
      </c>
      <c r="J324" s="30">
        <f t="shared" si="91"/>
      </c>
      <c r="K324" s="23">
        <f t="shared" si="98"/>
      </c>
      <c r="L324" s="29">
        <f t="shared" si="92"/>
      </c>
      <c r="M324" s="22">
        <f t="shared" si="93"/>
      </c>
      <c r="N324" s="23">
        <f t="shared" si="99"/>
      </c>
      <c r="O324" s="29">
        <f t="shared" si="100"/>
      </c>
      <c r="P324" s="22">
        <f t="shared" si="94"/>
      </c>
      <c r="Q324" s="23">
        <f t="shared" si="95"/>
      </c>
      <c r="R324" s="24">
        <f t="shared" si="96"/>
        <v>0</v>
      </c>
      <c r="S324" s="211">
        <f t="shared" si="85"/>
      </c>
      <c r="T324" s="39"/>
      <c r="AB324" s="136">
        <f t="shared" si="87"/>
      </c>
      <c r="AC324" s="136">
        <f t="shared" si="88"/>
      </c>
      <c r="AD324" s="136">
        <f t="shared" si="89"/>
      </c>
    </row>
    <row r="325" spans="6:30" ht="16.5" customHeight="1">
      <c r="F325" s="210">
        <f t="shared" si="90"/>
        <v>320</v>
      </c>
      <c r="G325" s="28">
        <f t="shared" si="86"/>
      </c>
      <c r="H325" s="29">
        <f t="shared" si="101"/>
      </c>
      <c r="I325" s="22">
        <f t="shared" si="97"/>
      </c>
      <c r="J325" s="30">
        <f t="shared" si="91"/>
      </c>
      <c r="K325" s="23">
        <f t="shared" si="98"/>
      </c>
      <c r="L325" s="29">
        <f t="shared" si="92"/>
      </c>
      <c r="M325" s="22">
        <f t="shared" si="93"/>
      </c>
      <c r="N325" s="23">
        <f t="shared" si="99"/>
      </c>
      <c r="O325" s="29">
        <f t="shared" si="100"/>
      </c>
      <c r="P325" s="22">
        <f t="shared" si="94"/>
      </c>
      <c r="Q325" s="23">
        <f t="shared" si="95"/>
      </c>
      <c r="R325" s="24">
        <f t="shared" si="96"/>
        <v>0</v>
      </c>
      <c r="S325" s="211">
        <f t="shared" si="85"/>
      </c>
      <c r="T325" s="39"/>
      <c r="AB325" s="136">
        <f t="shared" si="87"/>
      </c>
      <c r="AC325" s="136">
        <f t="shared" si="88"/>
      </c>
      <c r="AD325" s="136">
        <f t="shared" si="89"/>
      </c>
    </row>
    <row r="326" spans="6:30" ht="16.5" customHeight="1">
      <c r="F326" s="210">
        <f t="shared" si="90"/>
        <v>321</v>
      </c>
      <c r="G326" s="28">
        <f t="shared" si="86"/>
      </c>
      <c r="H326" s="29">
        <f t="shared" si="101"/>
      </c>
      <c r="I326" s="22">
        <f t="shared" si="97"/>
      </c>
      <c r="J326" s="30">
        <f t="shared" si="91"/>
      </c>
      <c r="K326" s="23">
        <f t="shared" si="98"/>
      </c>
      <c r="L326" s="29">
        <f t="shared" si="92"/>
      </c>
      <c r="M326" s="22">
        <f t="shared" si="93"/>
      </c>
      <c r="N326" s="23">
        <f t="shared" si="99"/>
      </c>
      <c r="O326" s="29">
        <f t="shared" si="100"/>
      </c>
      <c r="P326" s="22">
        <f t="shared" si="94"/>
      </c>
      <c r="Q326" s="23">
        <f t="shared" si="95"/>
      </c>
      <c r="R326" s="24">
        <f t="shared" si="96"/>
        <v>0</v>
      </c>
      <c r="S326" s="211">
        <f aca="true" t="shared" si="102" ref="S326:S389">IF(AND(H326="",L326=""),"",IF(ISERROR(YEAR(H326)),YEAR(L326),YEAR(H326)))</f>
      </c>
      <c r="T326" s="39"/>
      <c r="AB326" s="136">
        <f t="shared" si="87"/>
      </c>
      <c r="AC326" s="136">
        <f t="shared" si="88"/>
      </c>
      <c r="AD326" s="136">
        <f t="shared" si="89"/>
      </c>
    </row>
    <row r="327" spans="6:30" ht="16.5" customHeight="1">
      <c r="F327" s="210">
        <f t="shared" si="90"/>
        <v>322</v>
      </c>
      <c r="G327" s="28">
        <f aca="true" t="shared" si="103" ref="G327:G390">IF(OR(G326="",AND(G326&gt;D$11,J326&gt;D$27)),"",DATE(YEAR(G$6),MONTH(G$6)+F326+IF(OR(D$9="末",D$9=31),1,0),IF(OR(D$9="末",D$9=31),0,D$9)))</f>
      </c>
      <c r="H327" s="29">
        <f t="shared" si="101"/>
      </c>
      <c r="I327" s="22">
        <f t="shared" si="97"/>
      </c>
      <c r="J327" s="30">
        <f t="shared" si="91"/>
      </c>
      <c r="K327" s="23">
        <f t="shared" si="98"/>
      </c>
      <c r="L327" s="29">
        <f t="shared" si="92"/>
      </c>
      <c r="M327" s="22">
        <f t="shared" si="93"/>
      </c>
      <c r="N327" s="23">
        <f t="shared" si="99"/>
      </c>
      <c r="O327" s="29">
        <f t="shared" si="100"/>
      </c>
      <c r="P327" s="22">
        <f t="shared" si="94"/>
      </c>
      <c r="Q327" s="23">
        <f t="shared" si="95"/>
      </c>
      <c r="R327" s="24">
        <f t="shared" si="96"/>
        <v>0</v>
      </c>
      <c r="S327" s="211">
        <f t="shared" si="102"/>
      </c>
      <c r="T327" s="39"/>
      <c r="AB327" s="136">
        <f aca="true" t="shared" si="104" ref="AB327:AB390">IF(H327="","",IF(AND(MONTH(D$6)=MONTH(H327)),YEAR(H327)-YEAR(D$6)&amp;"歳誕生月",""))</f>
      </c>
      <c r="AC327" s="136">
        <f aca="true" t="shared" si="105" ref="AC327:AC390">IF(L327="","",IF(AND(MONTH(D$22)=MONTH(L327)),YEAR(L327)-YEAR(D$22)&amp;"歳誕生月",""))</f>
      </c>
      <c r="AD327" s="136">
        <f aca="true" t="shared" si="106" ref="AD327:AD390">IF(O327="","",IF(AND(MONTH(D$38)=MONTH(O327)),YEAR(O327)-YEAR(D$38)&amp;"歳誕生月",""))</f>
      </c>
    </row>
    <row r="328" spans="6:30" ht="16.5" customHeight="1">
      <c r="F328" s="210">
        <f aca="true" t="shared" si="107" ref="F328:F391">F327+1</f>
        <v>323</v>
      </c>
      <c r="G328" s="28">
        <f t="shared" si="103"/>
      </c>
      <c r="H328" s="29">
        <f t="shared" si="101"/>
      </c>
      <c r="I328" s="22">
        <f t="shared" si="97"/>
      </c>
      <c r="J328" s="30">
        <f aca="true" t="shared" si="108" ref="J328:J391">IF(OR(J327="",J327&gt;D$27),"",DATE(YEAR(J$6),MONTH(J$6)+F327+IF(OR(D$25="末",D$25=31),1,0),IF(OR(D$25="末",D$25=31),0,D$25)))</f>
      </c>
      <c r="K328" s="23">
        <f t="shared" si="98"/>
      </c>
      <c r="L328" s="29">
        <f aca="true" t="shared" si="109" ref="L328:L391">IF(L327="","",IF(AND(J328&gt;DATE(YEAR(D$27),MONTH(D$27)+1,0),J328&gt;D$11),"",IF(DAY(J328)&lt;&gt;D$25,DATE(YEAR(J328),MONTH(J328)+1,0),J328)))</f>
      </c>
      <c r="M328" s="22">
        <f aca="true" t="shared" si="110" ref="M328:M391">IF(L328="","",IF(AND(D$28&lt;&gt;0,L328&gt;D$28),D$29,M327))</f>
      </c>
      <c r="N328" s="23">
        <f t="shared" si="99"/>
      </c>
      <c r="O328" s="29">
        <f t="shared" si="100"/>
      </c>
      <c r="P328" s="22">
        <f aca="true" t="shared" si="111" ref="P328:P391">IF(O328="","",IF(AND(D$44&lt;&gt;0,O328&gt;D$44),D$45,P327))</f>
      </c>
      <c r="Q328" s="23">
        <f aca="true" t="shared" si="112" ref="Q328:Q391">IF(O328="","",AD328)</f>
      </c>
      <c r="R328" s="24">
        <f aca="true" t="shared" si="113" ref="R328:R391">IF(I328="",0,I328)+IF(M328="",0,M328)+IF(P328="",0,P328)</f>
        <v>0</v>
      </c>
      <c r="S328" s="211">
        <f t="shared" si="102"/>
      </c>
      <c r="T328" s="39"/>
      <c r="AB328" s="136">
        <f t="shared" si="104"/>
      </c>
      <c r="AC328" s="136">
        <f t="shared" si="105"/>
      </c>
      <c r="AD328" s="136">
        <f t="shared" si="106"/>
      </c>
    </row>
    <row r="329" spans="6:30" ht="16.5" customHeight="1">
      <c r="F329" s="210">
        <f t="shared" si="107"/>
        <v>324</v>
      </c>
      <c r="G329" s="28">
        <f t="shared" si="103"/>
      </c>
      <c r="H329" s="29">
        <f t="shared" si="101"/>
      </c>
      <c r="I329" s="22">
        <f aca="true" t="shared" si="114" ref="I329:I392">IF(H329="","",IF(AND(D$12&lt;&gt;0,H329&gt;D$12),D$13,I328))</f>
      </c>
      <c r="J329" s="30">
        <f t="shared" si="108"/>
      </c>
      <c r="K329" s="23">
        <f aca="true" t="shared" si="115" ref="K329:K392">IF(H329="","",IF(AND(YEAR(H329)=YEAR(D$15),MONTH(H329)=MONTH(D$15)),B$15,IF(AND(YEAR(H329)=YEAR(D$16),MONTH(H329)=MONTH(D$16)),B$16,IF(AND(YEAR(H329)=YEAR(D$17),MONTH(H329)=MONTH(D$17)),B$17,IF(AND(YEAR(H329)=YEAR(D$19),MONTH(H329)=MONTH(D$19)),B$19,IF(AND(YEAR(H329)=YEAR(D$18),MONTH(H329)=MONTH(D$18)),B$18,AB329))))))</f>
      </c>
      <c r="L329" s="29">
        <f t="shared" si="109"/>
      </c>
      <c r="M329" s="22">
        <f t="shared" si="110"/>
      </c>
      <c r="N329" s="23">
        <f aca="true" t="shared" si="116" ref="N329:N392">IF(L329="","",IF(AND(YEAR(L329)=YEAR(D$31),MONTH(L329)=MONTH(D$31)),B$31,IF(AND(YEAR(L329)=YEAR(D$32),MONTH(L329)=MONTH(D$32)),B$32,IF(AND(YEAR(L329)=YEAR(D$33),MONTH(L329)=MONTH(D$33)),B$33,IF(AND(YEAR(L329)=YEAR(D$35),MONTH(L329)=MONTH(D$35)),B$35,IF(AND(YEAR(L329)=YEAR(D$34),MONTH(L329)=MONTH(D$34)),B$34,AC329))))))</f>
      </c>
      <c r="O329" s="29">
        <f t="shared" si="100"/>
      </c>
      <c r="P329" s="22">
        <f t="shared" si="111"/>
      </c>
      <c r="Q329" s="23">
        <f t="shared" si="112"/>
      </c>
      <c r="R329" s="24">
        <f t="shared" si="113"/>
        <v>0</v>
      </c>
      <c r="S329" s="211">
        <f t="shared" si="102"/>
      </c>
      <c r="T329" s="39"/>
      <c r="AB329" s="136">
        <f t="shared" si="104"/>
      </c>
      <c r="AC329" s="136">
        <f t="shared" si="105"/>
      </c>
      <c r="AD329" s="136">
        <f t="shared" si="106"/>
      </c>
    </row>
    <row r="330" spans="6:30" ht="16.5" customHeight="1">
      <c r="F330" s="210">
        <f t="shared" si="107"/>
        <v>325</v>
      </c>
      <c r="G330" s="28">
        <f t="shared" si="103"/>
      </c>
      <c r="H330" s="29">
        <f t="shared" si="101"/>
      </c>
      <c r="I330" s="22">
        <f t="shared" si="114"/>
      </c>
      <c r="J330" s="30">
        <f t="shared" si="108"/>
      </c>
      <c r="K330" s="23">
        <f t="shared" si="115"/>
      </c>
      <c r="L330" s="29">
        <f t="shared" si="109"/>
      </c>
      <c r="M330" s="22">
        <f t="shared" si="110"/>
      </c>
      <c r="N330" s="23">
        <f t="shared" si="116"/>
      </c>
      <c r="O330" s="29">
        <f t="shared" si="100"/>
      </c>
      <c r="P330" s="22">
        <f t="shared" si="111"/>
      </c>
      <c r="Q330" s="23">
        <f t="shared" si="112"/>
      </c>
      <c r="R330" s="24">
        <f t="shared" si="113"/>
        <v>0</v>
      </c>
      <c r="S330" s="211">
        <f t="shared" si="102"/>
      </c>
      <c r="T330" s="39"/>
      <c r="AB330" s="136">
        <f t="shared" si="104"/>
      </c>
      <c r="AC330" s="136">
        <f t="shared" si="105"/>
      </c>
      <c r="AD330" s="136">
        <f t="shared" si="106"/>
      </c>
    </row>
    <row r="331" spans="6:30" ht="16.5" customHeight="1">
      <c r="F331" s="210">
        <f t="shared" si="107"/>
        <v>326</v>
      </c>
      <c r="G331" s="28">
        <f t="shared" si="103"/>
      </c>
      <c r="H331" s="29">
        <f t="shared" si="101"/>
      </c>
      <c r="I331" s="22">
        <f t="shared" si="114"/>
      </c>
      <c r="J331" s="30">
        <f t="shared" si="108"/>
      </c>
      <c r="K331" s="23">
        <f t="shared" si="115"/>
      </c>
      <c r="L331" s="29">
        <f t="shared" si="109"/>
      </c>
      <c r="M331" s="22">
        <f t="shared" si="110"/>
      </c>
      <c r="N331" s="23">
        <f t="shared" si="116"/>
      </c>
      <c r="O331" s="29">
        <f t="shared" si="100"/>
      </c>
      <c r="P331" s="22">
        <f t="shared" si="111"/>
      </c>
      <c r="Q331" s="23">
        <f t="shared" si="112"/>
      </c>
      <c r="R331" s="24">
        <f t="shared" si="113"/>
        <v>0</v>
      </c>
      <c r="S331" s="211">
        <f t="shared" si="102"/>
      </c>
      <c r="T331" s="39"/>
      <c r="AB331" s="136">
        <f t="shared" si="104"/>
      </c>
      <c r="AC331" s="136">
        <f t="shared" si="105"/>
      </c>
      <c r="AD331" s="136">
        <f t="shared" si="106"/>
      </c>
    </row>
    <row r="332" spans="6:30" ht="16.5" customHeight="1">
      <c r="F332" s="210">
        <f t="shared" si="107"/>
        <v>327</v>
      </c>
      <c r="G332" s="28">
        <f t="shared" si="103"/>
      </c>
      <c r="H332" s="29">
        <f t="shared" si="101"/>
      </c>
      <c r="I332" s="22">
        <f t="shared" si="114"/>
      </c>
      <c r="J332" s="30">
        <f t="shared" si="108"/>
      </c>
      <c r="K332" s="23">
        <f t="shared" si="115"/>
      </c>
      <c r="L332" s="29">
        <f t="shared" si="109"/>
      </c>
      <c r="M332" s="22">
        <f t="shared" si="110"/>
      </c>
      <c r="N332" s="23">
        <f t="shared" si="116"/>
      </c>
      <c r="O332" s="29">
        <f t="shared" si="100"/>
      </c>
      <c r="P332" s="22">
        <f t="shared" si="111"/>
      </c>
      <c r="Q332" s="23">
        <f t="shared" si="112"/>
      </c>
      <c r="R332" s="24">
        <f t="shared" si="113"/>
        <v>0</v>
      </c>
      <c r="S332" s="211">
        <f t="shared" si="102"/>
      </c>
      <c r="T332" s="39"/>
      <c r="AB332" s="136">
        <f t="shared" si="104"/>
      </c>
      <c r="AC332" s="136">
        <f t="shared" si="105"/>
      </c>
      <c r="AD332" s="136">
        <f t="shared" si="106"/>
      </c>
    </row>
    <row r="333" spans="6:30" ht="16.5" customHeight="1">
      <c r="F333" s="210">
        <f t="shared" si="107"/>
        <v>328</v>
      </c>
      <c r="G333" s="28">
        <f t="shared" si="103"/>
      </c>
      <c r="H333" s="29">
        <f t="shared" si="101"/>
      </c>
      <c r="I333" s="22">
        <f t="shared" si="114"/>
      </c>
      <c r="J333" s="30">
        <f t="shared" si="108"/>
      </c>
      <c r="K333" s="23">
        <f t="shared" si="115"/>
      </c>
      <c r="L333" s="29">
        <f t="shared" si="109"/>
      </c>
      <c r="M333" s="22">
        <f t="shared" si="110"/>
      </c>
      <c r="N333" s="23">
        <f t="shared" si="116"/>
      </c>
      <c r="O333" s="29">
        <f t="shared" si="100"/>
      </c>
      <c r="P333" s="22">
        <f t="shared" si="111"/>
      </c>
      <c r="Q333" s="23">
        <f t="shared" si="112"/>
      </c>
      <c r="R333" s="24">
        <f t="shared" si="113"/>
        <v>0</v>
      </c>
      <c r="S333" s="211">
        <f t="shared" si="102"/>
      </c>
      <c r="T333" s="39"/>
      <c r="AB333" s="136">
        <f t="shared" si="104"/>
      </c>
      <c r="AC333" s="136">
        <f t="shared" si="105"/>
      </c>
      <c r="AD333" s="136">
        <f t="shared" si="106"/>
      </c>
    </row>
    <row r="334" spans="6:30" ht="16.5" customHeight="1">
      <c r="F334" s="210">
        <f t="shared" si="107"/>
        <v>329</v>
      </c>
      <c r="G334" s="28">
        <f t="shared" si="103"/>
      </c>
      <c r="H334" s="29">
        <f t="shared" si="101"/>
      </c>
      <c r="I334" s="22">
        <f t="shared" si="114"/>
      </c>
      <c r="J334" s="30">
        <f t="shared" si="108"/>
      </c>
      <c r="K334" s="23">
        <f t="shared" si="115"/>
      </c>
      <c r="L334" s="29">
        <f t="shared" si="109"/>
      </c>
      <c r="M334" s="22">
        <f t="shared" si="110"/>
      </c>
      <c r="N334" s="23">
        <f t="shared" si="116"/>
      </c>
      <c r="O334" s="29">
        <f t="shared" si="100"/>
      </c>
      <c r="P334" s="22">
        <f t="shared" si="111"/>
      </c>
      <c r="Q334" s="23">
        <f t="shared" si="112"/>
      </c>
      <c r="R334" s="24">
        <f t="shared" si="113"/>
        <v>0</v>
      </c>
      <c r="S334" s="211">
        <f t="shared" si="102"/>
      </c>
      <c r="T334" s="39"/>
      <c r="AB334" s="136">
        <f t="shared" si="104"/>
      </c>
      <c r="AC334" s="136">
        <f t="shared" si="105"/>
      </c>
      <c r="AD334" s="136">
        <f t="shared" si="106"/>
      </c>
    </row>
    <row r="335" spans="6:30" ht="16.5" customHeight="1">
      <c r="F335" s="210">
        <f t="shared" si="107"/>
        <v>330</v>
      </c>
      <c r="G335" s="28">
        <f t="shared" si="103"/>
      </c>
      <c r="H335" s="29">
        <f t="shared" si="101"/>
      </c>
      <c r="I335" s="22">
        <f t="shared" si="114"/>
      </c>
      <c r="J335" s="30">
        <f t="shared" si="108"/>
      </c>
      <c r="K335" s="23">
        <f t="shared" si="115"/>
      </c>
      <c r="L335" s="29">
        <f t="shared" si="109"/>
      </c>
      <c r="M335" s="22">
        <f t="shared" si="110"/>
      </c>
      <c r="N335" s="23">
        <f t="shared" si="116"/>
      </c>
      <c r="O335" s="29">
        <f t="shared" si="100"/>
      </c>
      <c r="P335" s="22">
        <f t="shared" si="111"/>
      </c>
      <c r="Q335" s="23">
        <f t="shared" si="112"/>
      </c>
      <c r="R335" s="24">
        <f t="shared" si="113"/>
        <v>0</v>
      </c>
      <c r="S335" s="211">
        <f t="shared" si="102"/>
      </c>
      <c r="T335" s="39"/>
      <c r="AB335" s="136">
        <f t="shared" si="104"/>
      </c>
      <c r="AC335" s="136">
        <f t="shared" si="105"/>
      </c>
      <c r="AD335" s="136">
        <f t="shared" si="106"/>
      </c>
    </row>
    <row r="336" spans="6:30" ht="16.5" customHeight="1">
      <c r="F336" s="210">
        <f t="shared" si="107"/>
        <v>331</v>
      </c>
      <c r="G336" s="28">
        <f t="shared" si="103"/>
      </c>
      <c r="H336" s="29">
        <f t="shared" si="101"/>
      </c>
      <c r="I336" s="22">
        <f t="shared" si="114"/>
      </c>
      <c r="J336" s="30">
        <f t="shared" si="108"/>
      </c>
      <c r="K336" s="23">
        <f t="shared" si="115"/>
      </c>
      <c r="L336" s="29">
        <f t="shared" si="109"/>
      </c>
      <c r="M336" s="22">
        <f t="shared" si="110"/>
      </c>
      <c r="N336" s="23">
        <f t="shared" si="116"/>
      </c>
      <c r="O336" s="29">
        <f t="shared" si="100"/>
      </c>
      <c r="P336" s="22">
        <f t="shared" si="111"/>
      </c>
      <c r="Q336" s="23">
        <f t="shared" si="112"/>
      </c>
      <c r="R336" s="24">
        <f t="shared" si="113"/>
        <v>0</v>
      </c>
      <c r="S336" s="211">
        <f t="shared" si="102"/>
      </c>
      <c r="T336" s="39"/>
      <c r="AB336" s="136">
        <f t="shared" si="104"/>
      </c>
      <c r="AC336" s="136">
        <f t="shared" si="105"/>
      </c>
      <c r="AD336" s="136">
        <f t="shared" si="106"/>
      </c>
    </row>
    <row r="337" spans="6:30" ht="16.5" customHeight="1">
      <c r="F337" s="210">
        <f t="shared" si="107"/>
        <v>332</v>
      </c>
      <c r="G337" s="28">
        <f t="shared" si="103"/>
      </c>
      <c r="H337" s="29">
        <f t="shared" si="101"/>
      </c>
      <c r="I337" s="22">
        <f t="shared" si="114"/>
      </c>
      <c r="J337" s="30">
        <f t="shared" si="108"/>
      </c>
      <c r="K337" s="23">
        <f t="shared" si="115"/>
      </c>
      <c r="L337" s="29">
        <f t="shared" si="109"/>
      </c>
      <c r="M337" s="22">
        <f t="shared" si="110"/>
      </c>
      <c r="N337" s="23">
        <f t="shared" si="116"/>
      </c>
      <c r="O337" s="29">
        <f t="shared" si="100"/>
      </c>
      <c r="P337" s="22">
        <f t="shared" si="111"/>
      </c>
      <c r="Q337" s="23">
        <f t="shared" si="112"/>
      </c>
      <c r="R337" s="24">
        <f t="shared" si="113"/>
        <v>0</v>
      </c>
      <c r="S337" s="211">
        <f t="shared" si="102"/>
      </c>
      <c r="T337" s="39"/>
      <c r="AB337" s="136">
        <f t="shared" si="104"/>
      </c>
      <c r="AC337" s="136">
        <f t="shared" si="105"/>
      </c>
      <c r="AD337" s="136">
        <f t="shared" si="106"/>
      </c>
    </row>
    <row r="338" spans="6:30" ht="16.5" customHeight="1">
      <c r="F338" s="210">
        <f t="shared" si="107"/>
        <v>333</v>
      </c>
      <c r="G338" s="28">
        <f t="shared" si="103"/>
      </c>
      <c r="H338" s="29">
        <f t="shared" si="101"/>
      </c>
      <c r="I338" s="22">
        <f t="shared" si="114"/>
      </c>
      <c r="J338" s="30">
        <f t="shared" si="108"/>
      </c>
      <c r="K338" s="23">
        <f t="shared" si="115"/>
      </c>
      <c r="L338" s="29">
        <f t="shared" si="109"/>
      </c>
      <c r="M338" s="22">
        <f t="shared" si="110"/>
      </c>
      <c r="N338" s="23">
        <f t="shared" si="116"/>
      </c>
      <c r="O338" s="29">
        <f t="shared" si="100"/>
      </c>
      <c r="P338" s="22">
        <f t="shared" si="111"/>
      </c>
      <c r="Q338" s="23">
        <f t="shared" si="112"/>
      </c>
      <c r="R338" s="24">
        <f t="shared" si="113"/>
        <v>0</v>
      </c>
      <c r="S338" s="211">
        <f t="shared" si="102"/>
      </c>
      <c r="T338" s="39"/>
      <c r="AB338" s="136">
        <f t="shared" si="104"/>
      </c>
      <c r="AC338" s="136">
        <f t="shared" si="105"/>
      </c>
      <c r="AD338" s="136">
        <f t="shared" si="106"/>
      </c>
    </row>
    <row r="339" spans="6:30" ht="16.5" customHeight="1">
      <c r="F339" s="210">
        <f t="shared" si="107"/>
        <v>334</v>
      </c>
      <c r="G339" s="28">
        <f t="shared" si="103"/>
      </c>
      <c r="H339" s="29">
        <f t="shared" si="101"/>
      </c>
      <c r="I339" s="22">
        <f t="shared" si="114"/>
      </c>
      <c r="J339" s="30">
        <f t="shared" si="108"/>
      </c>
      <c r="K339" s="23">
        <f t="shared" si="115"/>
      </c>
      <c r="L339" s="29">
        <f t="shared" si="109"/>
      </c>
      <c r="M339" s="22">
        <f t="shared" si="110"/>
      </c>
      <c r="N339" s="23">
        <f t="shared" si="116"/>
      </c>
      <c r="O339" s="29">
        <f t="shared" si="100"/>
      </c>
      <c r="P339" s="22">
        <f t="shared" si="111"/>
      </c>
      <c r="Q339" s="23">
        <f t="shared" si="112"/>
      </c>
      <c r="R339" s="24">
        <f t="shared" si="113"/>
        <v>0</v>
      </c>
      <c r="S339" s="211">
        <f t="shared" si="102"/>
      </c>
      <c r="T339" s="39"/>
      <c r="AB339" s="136">
        <f t="shared" si="104"/>
      </c>
      <c r="AC339" s="136">
        <f t="shared" si="105"/>
      </c>
      <c r="AD339" s="136">
        <f t="shared" si="106"/>
      </c>
    </row>
    <row r="340" spans="6:30" ht="16.5" customHeight="1">
      <c r="F340" s="210">
        <f t="shared" si="107"/>
        <v>335</v>
      </c>
      <c r="G340" s="28">
        <f t="shared" si="103"/>
      </c>
      <c r="H340" s="29">
        <f t="shared" si="101"/>
      </c>
      <c r="I340" s="22">
        <f t="shared" si="114"/>
      </c>
      <c r="J340" s="30">
        <f t="shared" si="108"/>
      </c>
      <c r="K340" s="23">
        <f t="shared" si="115"/>
      </c>
      <c r="L340" s="29">
        <f t="shared" si="109"/>
      </c>
      <c r="M340" s="22">
        <f t="shared" si="110"/>
      </c>
      <c r="N340" s="23">
        <f t="shared" si="116"/>
      </c>
      <c r="O340" s="29">
        <f t="shared" si="100"/>
      </c>
      <c r="P340" s="22">
        <f t="shared" si="111"/>
      </c>
      <c r="Q340" s="23">
        <f t="shared" si="112"/>
      </c>
      <c r="R340" s="24">
        <f t="shared" si="113"/>
        <v>0</v>
      </c>
      <c r="S340" s="211">
        <f t="shared" si="102"/>
      </c>
      <c r="T340" s="39"/>
      <c r="AB340" s="136">
        <f t="shared" si="104"/>
      </c>
      <c r="AC340" s="136">
        <f t="shared" si="105"/>
      </c>
      <c r="AD340" s="136">
        <f t="shared" si="106"/>
      </c>
    </row>
    <row r="341" spans="6:30" ht="16.5" customHeight="1">
      <c r="F341" s="210">
        <f t="shared" si="107"/>
        <v>336</v>
      </c>
      <c r="G341" s="28">
        <f t="shared" si="103"/>
      </c>
      <c r="H341" s="29">
        <f t="shared" si="101"/>
      </c>
      <c r="I341" s="22">
        <f t="shared" si="114"/>
      </c>
      <c r="J341" s="30">
        <f t="shared" si="108"/>
      </c>
      <c r="K341" s="23">
        <f t="shared" si="115"/>
      </c>
      <c r="L341" s="29">
        <f t="shared" si="109"/>
      </c>
      <c r="M341" s="22">
        <f t="shared" si="110"/>
      </c>
      <c r="N341" s="23">
        <f t="shared" si="116"/>
      </c>
      <c r="O341" s="29">
        <f t="shared" si="100"/>
      </c>
      <c r="P341" s="22">
        <f t="shared" si="111"/>
      </c>
      <c r="Q341" s="23">
        <f t="shared" si="112"/>
      </c>
      <c r="R341" s="24">
        <f t="shared" si="113"/>
        <v>0</v>
      </c>
      <c r="S341" s="211">
        <f t="shared" si="102"/>
      </c>
      <c r="T341" s="39"/>
      <c r="AB341" s="136">
        <f t="shared" si="104"/>
      </c>
      <c r="AC341" s="136">
        <f t="shared" si="105"/>
      </c>
      <c r="AD341" s="136">
        <f t="shared" si="106"/>
      </c>
    </row>
    <row r="342" spans="6:30" ht="16.5" customHeight="1">
      <c r="F342" s="210">
        <f t="shared" si="107"/>
        <v>337</v>
      </c>
      <c r="G342" s="28">
        <f t="shared" si="103"/>
      </c>
      <c r="H342" s="29">
        <f t="shared" si="101"/>
      </c>
      <c r="I342" s="22">
        <f t="shared" si="114"/>
      </c>
      <c r="J342" s="30">
        <f t="shared" si="108"/>
      </c>
      <c r="K342" s="23">
        <f t="shared" si="115"/>
      </c>
      <c r="L342" s="29">
        <f t="shared" si="109"/>
      </c>
      <c r="M342" s="22">
        <f t="shared" si="110"/>
      </c>
      <c r="N342" s="23">
        <f t="shared" si="116"/>
      </c>
      <c r="O342" s="29">
        <f t="shared" si="100"/>
      </c>
      <c r="P342" s="22">
        <f t="shared" si="111"/>
      </c>
      <c r="Q342" s="23">
        <f t="shared" si="112"/>
      </c>
      <c r="R342" s="24">
        <f t="shared" si="113"/>
        <v>0</v>
      </c>
      <c r="S342" s="211">
        <f t="shared" si="102"/>
      </c>
      <c r="T342" s="39"/>
      <c r="AB342" s="136">
        <f t="shared" si="104"/>
      </c>
      <c r="AC342" s="136">
        <f t="shared" si="105"/>
      </c>
      <c r="AD342" s="136">
        <f t="shared" si="106"/>
      </c>
    </row>
    <row r="343" spans="6:30" ht="16.5" customHeight="1">
      <c r="F343" s="210">
        <f t="shared" si="107"/>
        <v>338</v>
      </c>
      <c r="G343" s="28">
        <f t="shared" si="103"/>
      </c>
      <c r="H343" s="29">
        <f t="shared" si="101"/>
      </c>
      <c r="I343" s="22">
        <f t="shared" si="114"/>
      </c>
      <c r="J343" s="30">
        <f t="shared" si="108"/>
      </c>
      <c r="K343" s="23">
        <f t="shared" si="115"/>
      </c>
      <c r="L343" s="29">
        <f t="shared" si="109"/>
      </c>
      <c r="M343" s="22">
        <f t="shared" si="110"/>
      </c>
      <c r="N343" s="23">
        <f t="shared" si="116"/>
      </c>
      <c r="O343" s="29">
        <f t="shared" si="100"/>
      </c>
      <c r="P343" s="22">
        <f t="shared" si="111"/>
      </c>
      <c r="Q343" s="23">
        <f t="shared" si="112"/>
      </c>
      <c r="R343" s="24">
        <f t="shared" si="113"/>
        <v>0</v>
      </c>
      <c r="S343" s="211">
        <f t="shared" si="102"/>
      </c>
      <c r="T343" s="39"/>
      <c r="AB343" s="136">
        <f t="shared" si="104"/>
      </c>
      <c r="AC343" s="136">
        <f t="shared" si="105"/>
      </c>
      <c r="AD343" s="136">
        <f t="shared" si="106"/>
      </c>
    </row>
    <row r="344" spans="6:30" ht="16.5" customHeight="1">
      <c r="F344" s="210">
        <f t="shared" si="107"/>
        <v>339</v>
      </c>
      <c r="G344" s="28">
        <f t="shared" si="103"/>
      </c>
      <c r="H344" s="29">
        <f t="shared" si="101"/>
      </c>
      <c r="I344" s="22">
        <f t="shared" si="114"/>
      </c>
      <c r="J344" s="30">
        <f t="shared" si="108"/>
      </c>
      <c r="K344" s="23">
        <f t="shared" si="115"/>
      </c>
      <c r="L344" s="29">
        <f t="shared" si="109"/>
      </c>
      <c r="M344" s="22">
        <f t="shared" si="110"/>
      </c>
      <c r="N344" s="23">
        <f t="shared" si="116"/>
      </c>
      <c r="O344" s="29">
        <f t="shared" si="100"/>
      </c>
      <c r="P344" s="22">
        <f t="shared" si="111"/>
      </c>
      <c r="Q344" s="23">
        <f t="shared" si="112"/>
      </c>
      <c r="R344" s="24">
        <f t="shared" si="113"/>
        <v>0</v>
      </c>
      <c r="S344" s="211">
        <f t="shared" si="102"/>
      </c>
      <c r="T344" s="39"/>
      <c r="AB344" s="136">
        <f t="shared" si="104"/>
      </c>
      <c r="AC344" s="136">
        <f t="shared" si="105"/>
      </c>
      <c r="AD344" s="136">
        <f t="shared" si="106"/>
      </c>
    </row>
    <row r="345" spans="6:30" ht="16.5" customHeight="1">
      <c r="F345" s="210">
        <f t="shared" si="107"/>
        <v>340</v>
      </c>
      <c r="G345" s="28">
        <f t="shared" si="103"/>
      </c>
      <c r="H345" s="29">
        <f t="shared" si="101"/>
      </c>
      <c r="I345" s="22">
        <f t="shared" si="114"/>
      </c>
      <c r="J345" s="30">
        <f t="shared" si="108"/>
      </c>
      <c r="K345" s="23">
        <f t="shared" si="115"/>
      </c>
      <c r="L345" s="29">
        <f t="shared" si="109"/>
      </c>
      <c r="M345" s="22">
        <f t="shared" si="110"/>
      </c>
      <c r="N345" s="23">
        <f t="shared" si="116"/>
      </c>
      <c r="O345" s="29">
        <f t="shared" si="100"/>
      </c>
      <c r="P345" s="22">
        <f t="shared" si="111"/>
      </c>
      <c r="Q345" s="23">
        <f t="shared" si="112"/>
      </c>
      <c r="R345" s="24">
        <f t="shared" si="113"/>
        <v>0</v>
      </c>
      <c r="S345" s="211">
        <f t="shared" si="102"/>
      </c>
      <c r="T345" s="39"/>
      <c r="AB345" s="136">
        <f t="shared" si="104"/>
      </c>
      <c r="AC345" s="136">
        <f t="shared" si="105"/>
      </c>
      <c r="AD345" s="136">
        <f t="shared" si="106"/>
      </c>
    </row>
    <row r="346" spans="6:30" ht="16.5" customHeight="1">
      <c r="F346" s="210">
        <f t="shared" si="107"/>
        <v>341</v>
      </c>
      <c r="G346" s="28">
        <f t="shared" si="103"/>
      </c>
      <c r="H346" s="29">
        <f t="shared" si="101"/>
      </c>
      <c r="I346" s="22">
        <f t="shared" si="114"/>
      </c>
      <c r="J346" s="30">
        <f t="shared" si="108"/>
      </c>
      <c r="K346" s="23">
        <f t="shared" si="115"/>
      </c>
      <c r="L346" s="29">
        <f t="shared" si="109"/>
      </c>
      <c r="M346" s="22">
        <f t="shared" si="110"/>
      </c>
      <c r="N346" s="23">
        <f t="shared" si="116"/>
      </c>
      <c r="O346" s="29">
        <f t="shared" si="100"/>
      </c>
      <c r="P346" s="22">
        <f t="shared" si="111"/>
      </c>
      <c r="Q346" s="23">
        <f t="shared" si="112"/>
      </c>
      <c r="R346" s="24">
        <f t="shared" si="113"/>
        <v>0</v>
      </c>
      <c r="S346" s="211">
        <f t="shared" si="102"/>
      </c>
      <c r="T346" s="39"/>
      <c r="AB346" s="136">
        <f t="shared" si="104"/>
      </c>
      <c r="AC346" s="136">
        <f t="shared" si="105"/>
      </c>
      <c r="AD346" s="136">
        <f t="shared" si="106"/>
      </c>
    </row>
    <row r="347" spans="6:30" ht="16.5" customHeight="1">
      <c r="F347" s="210">
        <f t="shared" si="107"/>
        <v>342</v>
      </c>
      <c r="G347" s="28">
        <f t="shared" si="103"/>
      </c>
      <c r="H347" s="29">
        <f t="shared" si="101"/>
      </c>
      <c r="I347" s="22">
        <f t="shared" si="114"/>
      </c>
      <c r="J347" s="30">
        <f t="shared" si="108"/>
      </c>
      <c r="K347" s="23">
        <f t="shared" si="115"/>
      </c>
      <c r="L347" s="29">
        <f t="shared" si="109"/>
      </c>
      <c r="M347" s="22">
        <f t="shared" si="110"/>
      </c>
      <c r="N347" s="23">
        <f t="shared" si="116"/>
      </c>
      <c r="O347" s="29">
        <f t="shared" si="100"/>
      </c>
      <c r="P347" s="22">
        <f t="shared" si="111"/>
      </c>
      <c r="Q347" s="23">
        <f t="shared" si="112"/>
      </c>
      <c r="R347" s="24">
        <f t="shared" si="113"/>
        <v>0</v>
      </c>
      <c r="S347" s="211">
        <f t="shared" si="102"/>
      </c>
      <c r="T347" s="39"/>
      <c r="AB347" s="136">
        <f t="shared" si="104"/>
      </c>
      <c r="AC347" s="136">
        <f t="shared" si="105"/>
      </c>
      <c r="AD347" s="136">
        <f t="shared" si="106"/>
      </c>
    </row>
    <row r="348" spans="6:30" ht="16.5" customHeight="1">
      <c r="F348" s="210">
        <f t="shared" si="107"/>
        <v>343</v>
      </c>
      <c r="G348" s="28">
        <f t="shared" si="103"/>
      </c>
      <c r="H348" s="29">
        <f t="shared" si="101"/>
      </c>
      <c r="I348" s="22">
        <f t="shared" si="114"/>
      </c>
      <c r="J348" s="30">
        <f t="shared" si="108"/>
      </c>
      <c r="K348" s="23">
        <f t="shared" si="115"/>
      </c>
      <c r="L348" s="29">
        <f t="shared" si="109"/>
      </c>
      <c r="M348" s="22">
        <f t="shared" si="110"/>
      </c>
      <c r="N348" s="23">
        <f t="shared" si="116"/>
      </c>
      <c r="O348" s="29">
        <f t="shared" si="100"/>
      </c>
      <c r="P348" s="22">
        <f t="shared" si="111"/>
      </c>
      <c r="Q348" s="23">
        <f t="shared" si="112"/>
      </c>
      <c r="R348" s="24">
        <f t="shared" si="113"/>
        <v>0</v>
      </c>
      <c r="S348" s="211">
        <f t="shared" si="102"/>
      </c>
      <c r="T348" s="39"/>
      <c r="AB348" s="136">
        <f t="shared" si="104"/>
      </c>
      <c r="AC348" s="136">
        <f t="shared" si="105"/>
      </c>
      <c r="AD348" s="136">
        <f t="shared" si="106"/>
      </c>
    </row>
    <row r="349" spans="6:30" ht="16.5" customHeight="1">
      <c r="F349" s="210">
        <f t="shared" si="107"/>
        <v>344</v>
      </c>
      <c r="G349" s="28">
        <f t="shared" si="103"/>
      </c>
      <c r="H349" s="29">
        <f t="shared" si="101"/>
      </c>
      <c r="I349" s="22">
        <f t="shared" si="114"/>
      </c>
      <c r="J349" s="30">
        <f t="shared" si="108"/>
      </c>
      <c r="K349" s="23">
        <f t="shared" si="115"/>
      </c>
      <c r="L349" s="29">
        <f t="shared" si="109"/>
      </c>
      <c r="M349" s="22">
        <f t="shared" si="110"/>
      </c>
      <c r="N349" s="23">
        <f t="shared" si="116"/>
      </c>
      <c r="O349" s="29">
        <f t="shared" si="100"/>
      </c>
      <c r="P349" s="22">
        <f t="shared" si="111"/>
      </c>
      <c r="Q349" s="23">
        <f t="shared" si="112"/>
      </c>
      <c r="R349" s="24">
        <f t="shared" si="113"/>
        <v>0</v>
      </c>
      <c r="S349" s="211">
        <f t="shared" si="102"/>
      </c>
      <c r="T349" s="39"/>
      <c r="AB349" s="136">
        <f t="shared" si="104"/>
      </c>
      <c r="AC349" s="136">
        <f t="shared" si="105"/>
      </c>
      <c r="AD349" s="136">
        <f t="shared" si="106"/>
      </c>
    </row>
    <row r="350" spans="6:30" ht="16.5" customHeight="1">
      <c r="F350" s="210">
        <f t="shared" si="107"/>
        <v>345</v>
      </c>
      <c r="G350" s="28">
        <f t="shared" si="103"/>
      </c>
      <c r="H350" s="29">
        <f t="shared" si="101"/>
      </c>
      <c r="I350" s="22">
        <f t="shared" si="114"/>
      </c>
      <c r="J350" s="30">
        <f t="shared" si="108"/>
      </c>
      <c r="K350" s="23">
        <f t="shared" si="115"/>
      </c>
      <c r="L350" s="29">
        <f t="shared" si="109"/>
      </c>
      <c r="M350" s="22">
        <f t="shared" si="110"/>
      </c>
      <c r="N350" s="23">
        <f t="shared" si="116"/>
      </c>
      <c r="O350" s="29">
        <f t="shared" si="100"/>
      </c>
      <c r="P350" s="22">
        <f t="shared" si="111"/>
      </c>
      <c r="Q350" s="23">
        <f t="shared" si="112"/>
      </c>
      <c r="R350" s="24">
        <f t="shared" si="113"/>
        <v>0</v>
      </c>
      <c r="S350" s="211">
        <f t="shared" si="102"/>
      </c>
      <c r="T350" s="39"/>
      <c r="AB350" s="136">
        <f t="shared" si="104"/>
      </c>
      <c r="AC350" s="136">
        <f t="shared" si="105"/>
      </c>
      <c r="AD350" s="136">
        <f t="shared" si="106"/>
      </c>
    </row>
    <row r="351" spans="6:30" ht="16.5" customHeight="1">
      <c r="F351" s="210">
        <f t="shared" si="107"/>
        <v>346</v>
      </c>
      <c r="G351" s="28">
        <f t="shared" si="103"/>
      </c>
      <c r="H351" s="29">
        <f t="shared" si="101"/>
      </c>
      <c r="I351" s="22">
        <f t="shared" si="114"/>
      </c>
      <c r="J351" s="30">
        <f t="shared" si="108"/>
      </c>
      <c r="K351" s="23">
        <f t="shared" si="115"/>
      </c>
      <c r="L351" s="29">
        <f t="shared" si="109"/>
      </c>
      <c r="M351" s="22">
        <f t="shared" si="110"/>
      </c>
      <c r="N351" s="23">
        <f t="shared" si="116"/>
      </c>
      <c r="O351" s="29">
        <f t="shared" si="100"/>
      </c>
      <c r="P351" s="22">
        <f t="shared" si="111"/>
      </c>
      <c r="Q351" s="23">
        <f t="shared" si="112"/>
      </c>
      <c r="R351" s="24">
        <f t="shared" si="113"/>
        <v>0</v>
      </c>
      <c r="S351" s="211">
        <f t="shared" si="102"/>
      </c>
      <c r="T351" s="39"/>
      <c r="AB351" s="136">
        <f t="shared" si="104"/>
      </c>
      <c r="AC351" s="136">
        <f t="shared" si="105"/>
      </c>
      <c r="AD351" s="136">
        <f t="shared" si="106"/>
      </c>
    </row>
    <row r="352" spans="6:30" ht="16.5" customHeight="1">
      <c r="F352" s="210">
        <f t="shared" si="107"/>
        <v>347</v>
      </c>
      <c r="G352" s="28">
        <f t="shared" si="103"/>
      </c>
      <c r="H352" s="29">
        <f t="shared" si="101"/>
      </c>
      <c r="I352" s="22">
        <f t="shared" si="114"/>
      </c>
      <c r="J352" s="30">
        <f t="shared" si="108"/>
      </c>
      <c r="K352" s="23">
        <f t="shared" si="115"/>
      </c>
      <c r="L352" s="29">
        <f t="shared" si="109"/>
      </c>
      <c r="M352" s="22">
        <f t="shared" si="110"/>
      </c>
      <c r="N352" s="23">
        <f t="shared" si="116"/>
      </c>
      <c r="O352" s="29">
        <f t="shared" si="100"/>
      </c>
      <c r="P352" s="22">
        <f t="shared" si="111"/>
      </c>
      <c r="Q352" s="23">
        <f t="shared" si="112"/>
      </c>
      <c r="R352" s="24">
        <f t="shared" si="113"/>
        <v>0</v>
      </c>
      <c r="S352" s="211">
        <f t="shared" si="102"/>
      </c>
      <c r="T352" s="39"/>
      <c r="AB352" s="136">
        <f t="shared" si="104"/>
      </c>
      <c r="AC352" s="136">
        <f t="shared" si="105"/>
      </c>
      <c r="AD352" s="136">
        <f t="shared" si="106"/>
      </c>
    </row>
    <row r="353" spans="6:30" ht="16.5" customHeight="1">
      <c r="F353" s="210">
        <f t="shared" si="107"/>
        <v>348</v>
      </c>
      <c r="G353" s="28">
        <f t="shared" si="103"/>
      </c>
      <c r="H353" s="29">
        <f t="shared" si="101"/>
      </c>
      <c r="I353" s="22">
        <f t="shared" si="114"/>
      </c>
      <c r="J353" s="30">
        <f t="shared" si="108"/>
      </c>
      <c r="K353" s="23">
        <f t="shared" si="115"/>
      </c>
      <c r="L353" s="29">
        <f t="shared" si="109"/>
      </c>
      <c r="M353" s="22">
        <f t="shared" si="110"/>
      </c>
      <c r="N353" s="23">
        <f t="shared" si="116"/>
      </c>
      <c r="O353" s="29">
        <f t="shared" si="100"/>
      </c>
      <c r="P353" s="22">
        <f t="shared" si="111"/>
      </c>
      <c r="Q353" s="23">
        <f t="shared" si="112"/>
      </c>
      <c r="R353" s="24">
        <f t="shared" si="113"/>
        <v>0</v>
      </c>
      <c r="S353" s="211">
        <f t="shared" si="102"/>
      </c>
      <c r="T353" s="39"/>
      <c r="AB353" s="136">
        <f t="shared" si="104"/>
      </c>
      <c r="AC353" s="136">
        <f t="shared" si="105"/>
      </c>
      <c r="AD353" s="136">
        <f t="shared" si="106"/>
      </c>
    </row>
    <row r="354" spans="6:30" ht="16.5" customHeight="1">
      <c r="F354" s="210">
        <f t="shared" si="107"/>
        <v>349</v>
      </c>
      <c r="G354" s="28">
        <f t="shared" si="103"/>
      </c>
      <c r="H354" s="29">
        <f t="shared" si="101"/>
      </c>
      <c r="I354" s="22">
        <f t="shared" si="114"/>
      </c>
      <c r="J354" s="30">
        <f t="shared" si="108"/>
      </c>
      <c r="K354" s="23">
        <f t="shared" si="115"/>
      </c>
      <c r="L354" s="29">
        <f t="shared" si="109"/>
      </c>
      <c r="M354" s="22">
        <f t="shared" si="110"/>
      </c>
      <c r="N354" s="23">
        <f t="shared" si="116"/>
      </c>
      <c r="O354" s="29">
        <f t="shared" si="100"/>
      </c>
      <c r="P354" s="22">
        <f t="shared" si="111"/>
      </c>
      <c r="Q354" s="23">
        <f t="shared" si="112"/>
      </c>
      <c r="R354" s="24">
        <f t="shared" si="113"/>
        <v>0</v>
      </c>
      <c r="S354" s="211">
        <f t="shared" si="102"/>
      </c>
      <c r="T354" s="39"/>
      <c r="AB354" s="136">
        <f t="shared" si="104"/>
      </c>
      <c r="AC354" s="136">
        <f t="shared" si="105"/>
      </c>
      <c r="AD354" s="136">
        <f t="shared" si="106"/>
      </c>
    </row>
    <row r="355" spans="6:30" ht="16.5" customHeight="1">
      <c r="F355" s="210">
        <f t="shared" si="107"/>
        <v>350</v>
      </c>
      <c r="G355" s="28">
        <f t="shared" si="103"/>
      </c>
      <c r="H355" s="29">
        <f t="shared" si="101"/>
      </c>
      <c r="I355" s="22">
        <f t="shared" si="114"/>
      </c>
      <c r="J355" s="30">
        <f t="shared" si="108"/>
      </c>
      <c r="K355" s="23">
        <f t="shared" si="115"/>
      </c>
      <c r="L355" s="29">
        <f t="shared" si="109"/>
      </c>
      <c r="M355" s="22">
        <f t="shared" si="110"/>
      </c>
      <c r="N355" s="23">
        <f t="shared" si="116"/>
      </c>
      <c r="O355" s="29">
        <f t="shared" si="100"/>
      </c>
      <c r="P355" s="22">
        <f t="shared" si="111"/>
      </c>
      <c r="Q355" s="23">
        <f t="shared" si="112"/>
      </c>
      <c r="R355" s="24">
        <f t="shared" si="113"/>
        <v>0</v>
      </c>
      <c r="S355" s="211">
        <f t="shared" si="102"/>
      </c>
      <c r="T355" s="39"/>
      <c r="AB355" s="136">
        <f t="shared" si="104"/>
      </c>
      <c r="AC355" s="136">
        <f t="shared" si="105"/>
      </c>
      <c r="AD355" s="136">
        <f t="shared" si="106"/>
      </c>
    </row>
    <row r="356" spans="6:30" ht="16.5" customHeight="1">
      <c r="F356" s="210">
        <f t="shared" si="107"/>
        <v>351</v>
      </c>
      <c r="G356" s="28">
        <f t="shared" si="103"/>
      </c>
      <c r="H356" s="29">
        <f t="shared" si="101"/>
      </c>
      <c r="I356" s="22">
        <f t="shared" si="114"/>
      </c>
      <c r="J356" s="30">
        <f t="shared" si="108"/>
      </c>
      <c r="K356" s="23">
        <f t="shared" si="115"/>
      </c>
      <c r="L356" s="29">
        <f t="shared" si="109"/>
      </c>
      <c r="M356" s="22">
        <f t="shared" si="110"/>
      </c>
      <c r="N356" s="23">
        <f t="shared" si="116"/>
      </c>
      <c r="O356" s="29">
        <f t="shared" si="100"/>
      </c>
      <c r="P356" s="22">
        <f t="shared" si="111"/>
      </c>
      <c r="Q356" s="23">
        <f t="shared" si="112"/>
      </c>
      <c r="R356" s="24">
        <f t="shared" si="113"/>
        <v>0</v>
      </c>
      <c r="S356" s="211">
        <f t="shared" si="102"/>
      </c>
      <c r="T356" s="39"/>
      <c r="AB356" s="136">
        <f t="shared" si="104"/>
      </c>
      <c r="AC356" s="136">
        <f t="shared" si="105"/>
      </c>
      <c r="AD356" s="136">
        <f t="shared" si="106"/>
      </c>
    </row>
    <row r="357" spans="6:30" ht="16.5" customHeight="1">
      <c r="F357" s="210">
        <f t="shared" si="107"/>
        <v>352</v>
      </c>
      <c r="G357" s="28">
        <f t="shared" si="103"/>
      </c>
      <c r="H357" s="29">
        <f t="shared" si="101"/>
      </c>
      <c r="I357" s="22">
        <f t="shared" si="114"/>
      </c>
      <c r="J357" s="30">
        <f t="shared" si="108"/>
      </c>
      <c r="K357" s="23">
        <f t="shared" si="115"/>
      </c>
      <c r="L357" s="29">
        <f t="shared" si="109"/>
      </c>
      <c r="M357" s="22">
        <f t="shared" si="110"/>
      </c>
      <c r="N357" s="23">
        <f t="shared" si="116"/>
      </c>
      <c r="O357" s="29">
        <f t="shared" si="100"/>
      </c>
      <c r="P357" s="22">
        <f t="shared" si="111"/>
      </c>
      <c r="Q357" s="23">
        <f t="shared" si="112"/>
      </c>
      <c r="R357" s="24">
        <f t="shared" si="113"/>
        <v>0</v>
      </c>
      <c r="S357" s="211">
        <f t="shared" si="102"/>
      </c>
      <c r="T357" s="39"/>
      <c r="AB357" s="136">
        <f t="shared" si="104"/>
      </c>
      <c r="AC357" s="136">
        <f t="shared" si="105"/>
      </c>
      <c r="AD357" s="136">
        <f t="shared" si="106"/>
      </c>
    </row>
    <row r="358" spans="6:30" ht="16.5" customHeight="1">
      <c r="F358" s="210">
        <f t="shared" si="107"/>
        <v>353</v>
      </c>
      <c r="G358" s="28">
        <f t="shared" si="103"/>
      </c>
      <c r="H358" s="29">
        <f t="shared" si="101"/>
      </c>
      <c r="I358" s="22">
        <f t="shared" si="114"/>
      </c>
      <c r="J358" s="30">
        <f t="shared" si="108"/>
      </c>
      <c r="K358" s="23">
        <f t="shared" si="115"/>
      </c>
      <c r="L358" s="29">
        <f t="shared" si="109"/>
      </c>
      <c r="M358" s="22">
        <f t="shared" si="110"/>
      </c>
      <c r="N358" s="23">
        <f t="shared" si="116"/>
      </c>
      <c r="O358" s="29">
        <f aca="true" t="shared" si="117" ref="O358:O421">IF(O357="","",IF(DATE(YEAR(D$43),MONTH(D$43)+1,DAY(0))&lt;=DATE(YEAR(O357),MONTH(O357)+1,DAY(0)),"",IF($D$41="末",DATE(YEAR(O357),MONTH(O357)+2,DAY(0)),DATE(YEAR(O357),MONTH(O357)+1,DAY(O357)))))</f>
      </c>
      <c r="P358" s="22">
        <f t="shared" si="111"/>
      </c>
      <c r="Q358" s="23">
        <f t="shared" si="112"/>
      </c>
      <c r="R358" s="24">
        <f t="shared" si="113"/>
        <v>0</v>
      </c>
      <c r="S358" s="211">
        <f t="shared" si="102"/>
      </c>
      <c r="T358" s="39"/>
      <c r="AB358" s="136">
        <f t="shared" si="104"/>
      </c>
      <c r="AC358" s="136">
        <f t="shared" si="105"/>
      </c>
      <c r="AD358" s="136">
        <f t="shared" si="106"/>
      </c>
    </row>
    <row r="359" spans="6:30" ht="16.5" customHeight="1">
      <c r="F359" s="210">
        <f t="shared" si="107"/>
        <v>354</v>
      </c>
      <c r="G359" s="28">
        <f t="shared" si="103"/>
      </c>
      <c r="H359" s="29">
        <f t="shared" si="101"/>
      </c>
      <c r="I359" s="22">
        <f t="shared" si="114"/>
      </c>
      <c r="J359" s="30">
        <f t="shared" si="108"/>
      </c>
      <c r="K359" s="23">
        <f t="shared" si="115"/>
      </c>
      <c r="L359" s="29">
        <f t="shared" si="109"/>
      </c>
      <c r="M359" s="22">
        <f t="shared" si="110"/>
      </c>
      <c r="N359" s="23">
        <f t="shared" si="116"/>
      </c>
      <c r="O359" s="29">
        <f t="shared" si="117"/>
      </c>
      <c r="P359" s="22">
        <f t="shared" si="111"/>
      </c>
      <c r="Q359" s="23">
        <f t="shared" si="112"/>
      </c>
      <c r="R359" s="24">
        <f t="shared" si="113"/>
        <v>0</v>
      </c>
      <c r="S359" s="211">
        <f t="shared" si="102"/>
      </c>
      <c r="T359" s="39"/>
      <c r="AB359" s="136">
        <f t="shared" si="104"/>
      </c>
      <c r="AC359" s="136">
        <f t="shared" si="105"/>
      </c>
      <c r="AD359" s="136">
        <f t="shared" si="106"/>
      </c>
    </row>
    <row r="360" spans="6:30" ht="16.5" customHeight="1">
      <c r="F360" s="210">
        <f t="shared" si="107"/>
        <v>355</v>
      </c>
      <c r="G360" s="28">
        <f t="shared" si="103"/>
      </c>
      <c r="H360" s="29">
        <f t="shared" si="101"/>
      </c>
      <c r="I360" s="22">
        <f t="shared" si="114"/>
      </c>
      <c r="J360" s="30">
        <f t="shared" si="108"/>
      </c>
      <c r="K360" s="23">
        <f t="shared" si="115"/>
      </c>
      <c r="L360" s="29">
        <f t="shared" si="109"/>
      </c>
      <c r="M360" s="22">
        <f t="shared" si="110"/>
      </c>
      <c r="N360" s="23">
        <f t="shared" si="116"/>
      </c>
      <c r="O360" s="29">
        <f t="shared" si="117"/>
      </c>
      <c r="P360" s="22">
        <f t="shared" si="111"/>
      </c>
      <c r="Q360" s="23">
        <f t="shared" si="112"/>
      </c>
      <c r="R360" s="24">
        <f t="shared" si="113"/>
        <v>0</v>
      </c>
      <c r="S360" s="211">
        <f t="shared" si="102"/>
      </c>
      <c r="T360" s="39"/>
      <c r="AB360" s="136">
        <f t="shared" si="104"/>
      </c>
      <c r="AC360" s="136">
        <f t="shared" si="105"/>
      </c>
      <c r="AD360" s="136">
        <f t="shared" si="106"/>
      </c>
    </row>
    <row r="361" spans="6:30" ht="16.5" customHeight="1">
      <c r="F361" s="210">
        <f t="shared" si="107"/>
        <v>356</v>
      </c>
      <c r="G361" s="28">
        <f t="shared" si="103"/>
      </c>
      <c r="H361" s="29">
        <f t="shared" si="101"/>
      </c>
      <c r="I361" s="22">
        <f t="shared" si="114"/>
      </c>
      <c r="J361" s="30">
        <f t="shared" si="108"/>
      </c>
      <c r="K361" s="23">
        <f t="shared" si="115"/>
      </c>
      <c r="L361" s="29">
        <f t="shared" si="109"/>
      </c>
      <c r="M361" s="22">
        <f t="shared" si="110"/>
      </c>
      <c r="N361" s="23">
        <f t="shared" si="116"/>
      </c>
      <c r="O361" s="29">
        <f t="shared" si="117"/>
      </c>
      <c r="P361" s="22">
        <f t="shared" si="111"/>
      </c>
      <c r="Q361" s="23">
        <f t="shared" si="112"/>
      </c>
      <c r="R361" s="24">
        <f t="shared" si="113"/>
        <v>0</v>
      </c>
      <c r="S361" s="211">
        <f t="shared" si="102"/>
      </c>
      <c r="T361" s="39"/>
      <c r="AB361" s="136">
        <f t="shared" si="104"/>
      </c>
      <c r="AC361" s="136">
        <f t="shared" si="105"/>
      </c>
      <c r="AD361" s="136">
        <f t="shared" si="106"/>
      </c>
    </row>
    <row r="362" spans="6:30" ht="16.5" customHeight="1">
      <c r="F362" s="210">
        <f t="shared" si="107"/>
        <v>357</v>
      </c>
      <c r="G362" s="28">
        <f t="shared" si="103"/>
      </c>
      <c r="H362" s="29">
        <f t="shared" si="101"/>
      </c>
      <c r="I362" s="22">
        <f t="shared" si="114"/>
      </c>
      <c r="J362" s="30">
        <f t="shared" si="108"/>
      </c>
      <c r="K362" s="23">
        <f t="shared" si="115"/>
      </c>
      <c r="L362" s="29">
        <f t="shared" si="109"/>
      </c>
      <c r="M362" s="22">
        <f t="shared" si="110"/>
      </c>
      <c r="N362" s="23">
        <f t="shared" si="116"/>
      </c>
      <c r="O362" s="29">
        <f t="shared" si="117"/>
      </c>
      <c r="P362" s="22">
        <f t="shared" si="111"/>
      </c>
      <c r="Q362" s="23">
        <f t="shared" si="112"/>
      </c>
      <c r="R362" s="24">
        <f t="shared" si="113"/>
        <v>0</v>
      </c>
      <c r="S362" s="211">
        <f t="shared" si="102"/>
      </c>
      <c r="T362" s="39"/>
      <c r="AB362" s="136">
        <f t="shared" si="104"/>
      </c>
      <c r="AC362" s="136">
        <f t="shared" si="105"/>
      </c>
      <c r="AD362" s="136">
        <f t="shared" si="106"/>
      </c>
    </row>
    <row r="363" spans="6:30" ht="16.5" customHeight="1">
      <c r="F363" s="210">
        <f t="shared" si="107"/>
        <v>358</v>
      </c>
      <c r="G363" s="28">
        <f t="shared" si="103"/>
      </c>
      <c r="H363" s="29">
        <f t="shared" si="101"/>
      </c>
      <c r="I363" s="22">
        <f t="shared" si="114"/>
      </c>
      <c r="J363" s="30">
        <f t="shared" si="108"/>
      </c>
      <c r="K363" s="23">
        <f t="shared" si="115"/>
      </c>
      <c r="L363" s="29">
        <f t="shared" si="109"/>
      </c>
      <c r="M363" s="22">
        <f t="shared" si="110"/>
      </c>
      <c r="N363" s="23">
        <f t="shared" si="116"/>
      </c>
      <c r="O363" s="29">
        <f t="shared" si="117"/>
      </c>
      <c r="P363" s="22">
        <f t="shared" si="111"/>
      </c>
      <c r="Q363" s="23">
        <f t="shared" si="112"/>
      </c>
      <c r="R363" s="24">
        <f t="shared" si="113"/>
        <v>0</v>
      </c>
      <c r="S363" s="211">
        <f t="shared" si="102"/>
      </c>
      <c r="T363" s="39"/>
      <c r="AB363" s="136">
        <f t="shared" si="104"/>
      </c>
      <c r="AC363" s="136">
        <f t="shared" si="105"/>
      </c>
      <c r="AD363" s="136">
        <f t="shared" si="106"/>
      </c>
    </row>
    <row r="364" spans="6:30" ht="16.5" customHeight="1">
      <c r="F364" s="210">
        <f t="shared" si="107"/>
        <v>359</v>
      </c>
      <c r="G364" s="28">
        <f t="shared" si="103"/>
      </c>
      <c r="H364" s="29">
        <f t="shared" si="101"/>
      </c>
      <c r="I364" s="22">
        <f t="shared" si="114"/>
      </c>
      <c r="J364" s="30">
        <f t="shared" si="108"/>
      </c>
      <c r="K364" s="23">
        <f t="shared" si="115"/>
      </c>
      <c r="L364" s="29">
        <f t="shared" si="109"/>
      </c>
      <c r="M364" s="22">
        <f t="shared" si="110"/>
      </c>
      <c r="N364" s="23">
        <f t="shared" si="116"/>
      </c>
      <c r="O364" s="29">
        <f t="shared" si="117"/>
      </c>
      <c r="P364" s="22">
        <f t="shared" si="111"/>
      </c>
      <c r="Q364" s="23">
        <f t="shared" si="112"/>
      </c>
      <c r="R364" s="24">
        <f t="shared" si="113"/>
        <v>0</v>
      </c>
      <c r="S364" s="211">
        <f t="shared" si="102"/>
      </c>
      <c r="T364" s="39"/>
      <c r="AB364" s="136">
        <f t="shared" si="104"/>
      </c>
      <c r="AC364" s="136">
        <f t="shared" si="105"/>
      </c>
      <c r="AD364" s="136">
        <f t="shared" si="106"/>
      </c>
    </row>
    <row r="365" spans="6:30" ht="16.5" customHeight="1">
      <c r="F365" s="210">
        <f t="shared" si="107"/>
        <v>360</v>
      </c>
      <c r="G365" s="28">
        <f t="shared" si="103"/>
      </c>
      <c r="H365" s="29">
        <f t="shared" si="101"/>
      </c>
      <c r="I365" s="22">
        <f t="shared" si="114"/>
      </c>
      <c r="J365" s="30">
        <f t="shared" si="108"/>
      </c>
      <c r="K365" s="23">
        <f t="shared" si="115"/>
      </c>
      <c r="L365" s="29">
        <f t="shared" si="109"/>
      </c>
      <c r="M365" s="22">
        <f t="shared" si="110"/>
      </c>
      <c r="N365" s="23">
        <f t="shared" si="116"/>
      </c>
      <c r="O365" s="29">
        <f t="shared" si="117"/>
      </c>
      <c r="P365" s="22">
        <f t="shared" si="111"/>
      </c>
      <c r="Q365" s="23">
        <f t="shared" si="112"/>
      </c>
      <c r="R365" s="24">
        <f t="shared" si="113"/>
        <v>0</v>
      </c>
      <c r="S365" s="211">
        <f t="shared" si="102"/>
      </c>
      <c r="T365" s="39"/>
      <c r="AB365" s="136">
        <f t="shared" si="104"/>
      </c>
      <c r="AC365" s="136">
        <f t="shared" si="105"/>
      </c>
      <c r="AD365" s="136">
        <f t="shared" si="106"/>
      </c>
    </row>
    <row r="366" spans="6:30" ht="16.5" customHeight="1">
      <c r="F366" s="210">
        <f t="shared" si="107"/>
        <v>361</v>
      </c>
      <c r="G366" s="28">
        <f t="shared" si="103"/>
      </c>
      <c r="H366" s="29">
        <f t="shared" si="101"/>
      </c>
      <c r="I366" s="22">
        <f t="shared" si="114"/>
      </c>
      <c r="J366" s="30">
        <f t="shared" si="108"/>
      </c>
      <c r="K366" s="23">
        <f t="shared" si="115"/>
      </c>
      <c r="L366" s="29">
        <f t="shared" si="109"/>
      </c>
      <c r="M366" s="22">
        <f t="shared" si="110"/>
      </c>
      <c r="N366" s="23">
        <f t="shared" si="116"/>
      </c>
      <c r="O366" s="29">
        <f t="shared" si="117"/>
      </c>
      <c r="P366" s="22">
        <f t="shared" si="111"/>
      </c>
      <c r="Q366" s="23">
        <f t="shared" si="112"/>
      </c>
      <c r="R366" s="24">
        <f t="shared" si="113"/>
        <v>0</v>
      </c>
      <c r="S366" s="211">
        <f t="shared" si="102"/>
      </c>
      <c r="T366" s="39"/>
      <c r="AB366" s="136">
        <f t="shared" si="104"/>
      </c>
      <c r="AC366" s="136">
        <f t="shared" si="105"/>
      </c>
      <c r="AD366" s="136">
        <f t="shared" si="106"/>
      </c>
    </row>
    <row r="367" spans="6:30" ht="16.5" customHeight="1">
      <c r="F367" s="210">
        <f t="shared" si="107"/>
        <v>362</v>
      </c>
      <c r="G367" s="28">
        <f t="shared" si="103"/>
      </c>
      <c r="H367" s="29">
        <f t="shared" si="101"/>
      </c>
      <c r="I367" s="22">
        <f t="shared" si="114"/>
      </c>
      <c r="J367" s="30">
        <f t="shared" si="108"/>
      </c>
      <c r="K367" s="23">
        <f t="shared" si="115"/>
      </c>
      <c r="L367" s="29">
        <f t="shared" si="109"/>
      </c>
      <c r="M367" s="22">
        <f t="shared" si="110"/>
      </c>
      <c r="N367" s="23">
        <f t="shared" si="116"/>
      </c>
      <c r="O367" s="29">
        <f t="shared" si="117"/>
      </c>
      <c r="P367" s="22">
        <f t="shared" si="111"/>
      </c>
      <c r="Q367" s="23">
        <f t="shared" si="112"/>
      </c>
      <c r="R367" s="24">
        <f t="shared" si="113"/>
        <v>0</v>
      </c>
      <c r="S367" s="211">
        <f t="shared" si="102"/>
      </c>
      <c r="T367" s="39"/>
      <c r="AB367" s="136">
        <f t="shared" si="104"/>
      </c>
      <c r="AC367" s="136">
        <f t="shared" si="105"/>
      </c>
      <c r="AD367" s="136">
        <f t="shared" si="106"/>
      </c>
    </row>
    <row r="368" spans="6:30" ht="16.5" customHeight="1">
      <c r="F368" s="210">
        <f t="shared" si="107"/>
        <v>363</v>
      </c>
      <c r="G368" s="28">
        <f t="shared" si="103"/>
      </c>
      <c r="H368" s="29">
        <f t="shared" si="101"/>
      </c>
      <c r="I368" s="22">
        <f t="shared" si="114"/>
      </c>
      <c r="J368" s="30">
        <f t="shared" si="108"/>
      </c>
      <c r="K368" s="23">
        <f t="shared" si="115"/>
      </c>
      <c r="L368" s="29">
        <f t="shared" si="109"/>
      </c>
      <c r="M368" s="22">
        <f t="shared" si="110"/>
      </c>
      <c r="N368" s="23">
        <f t="shared" si="116"/>
      </c>
      <c r="O368" s="29">
        <f t="shared" si="117"/>
      </c>
      <c r="P368" s="22">
        <f t="shared" si="111"/>
      </c>
      <c r="Q368" s="23">
        <f t="shared" si="112"/>
      </c>
      <c r="R368" s="24">
        <f t="shared" si="113"/>
        <v>0</v>
      </c>
      <c r="S368" s="211">
        <f t="shared" si="102"/>
      </c>
      <c r="T368" s="39"/>
      <c r="AB368" s="136">
        <f t="shared" si="104"/>
      </c>
      <c r="AC368" s="136">
        <f t="shared" si="105"/>
      </c>
      <c r="AD368" s="136">
        <f t="shared" si="106"/>
      </c>
    </row>
    <row r="369" spans="6:30" ht="16.5" customHeight="1">
      <c r="F369" s="210">
        <f t="shared" si="107"/>
        <v>364</v>
      </c>
      <c r="G369" s="28">
        <f t="shared" si="103"/>
      </c>
      <c r="H369" s="29">
        <f t="shared" si="101"/>
      </c>
      <c r="I369" s="22">
        <f t="shared" si="114"/>
      </c>
      <c r="J369" s="30">
        <f t="shared" si="108"/>
      </c>
      <c r="K369" s="23">
        <f t="shared" si="115"/>
      </c>
      <c r="L369" s="29">
        <f t="shared" si="109"/>
      </c>
      <c r="M369" s="22">
        <f t="shared" si="110"/>
      </c>
      <c r="N369" s="23">
        <f t="shared" si="116"/>
      </c>
      <c r="O369" s="29">
        <f t="shared" si="117"/>
      </c>
      <c r="P369" s="22">
        <f t="shared" si="111"/>
      </c>
      <c r="Q369" s="23">
        <f t="shared" si="112"/>
      </c>
      <c r="R369" s="24">
        <f t="shared" si="113"/>
        <v>0</v>
      </c>
      <c r="S369" s="211">
        <f t="shared" si="102"/>
      </c>
      <c r="T369" s="39"/>
      <c r="AB369" s="136">
        <f t="shared" si="104"/>
      </c>
      <c r="AC369" s="136">
        <f t="shared" si="105"/>
      </c>
      <c r="AD369" s="136">
        <f t="shared" si="106"/>
      </c>
    </row>
    <row r="370" spans="6:30" ht="16.5" customHeight="1">
      <c r="F370" s="210">
        <f t="shared" si="107"/>
        <v>365</v>
      </c>
      <c r="G370" s="28">
        <f t="shared" si="103"/>
      </c>
      <c r="H370" s="29">
        <f t="shared" si="101"/>
      </c>
      <c r="I370" s="22">
        <f t="shared" si="114"/>
      </c>
      <c r="J370" s="30">
        <f t="shared" si="108"/>
      </c>
      <c r="K370" s="23">
        <f t="shared" si="115"/>
      </c>
      <c r="L370" s="29">
        <f t="shared" si="109"/>
      </c>
      <c r="M370" s="22">
        <f t="shared" si="110"/>
      </c>
      <c r="N370" s="23">
        <f t="shared" si="116"/>
      </c>
      <c r="O370" s="29">
        <f t="shared" si="117"/>
      </c>
      <c r="P370" s="22">
        <f t="shared" si="111"/>
      </c>
      <c r="Q370" s="23">
        <f t="shared" si="112"/>
      </c>
      <c r="R370" s="24">
        <f t="shared" si="113"/>
        <v>0</v>
      </c>
      <c r="S370" s="211">
        <f t="shared" si="102"/>
      </c>
      <c r="T370" s="39"/>
      <c r="AB370" s="136">
        <f t="shared" si="104"/>
      </c>
      <c r="AC370" s="136">
        <f t="shared" si="105"/>
      </c>
      <c r="AD370" s="136">
        <f t="shared" si="106"/>
      </c>
    </row>
    <row r="371" spans="6:30" ht="16.5" customHeight="1">
      <c r="F371" s="210">
        <f t="shared" si="107"/>
        <v>366</v>
      </c>
      <c r="G371" s="28">
        <f t="shared" si="103"/>
      </c>
      <c r="H371" s="29">
        <f t="shared" si="101"/>
      </c>
      <c r="I371" s="22">
        <f t="shared" si="114"/>
      </c>
      <c r="J371" s="30">
        <f t="shared" si="108"/>
      </c>
      <c r="K371" s="23">
        <f t="shared" si="115"/>
      </c>
      <c r="L371" s="29">
        <f t="shared" si="109"/>
      </c>
      <c r="M371" s="22">
        <f t="shared" si="110"/>
      </c>
      <c r="N371" s="23">
        <f t="shared" si="116"/>
      </c>
      <c r="O371" s="29">
        <f t="shared" si="117"/>
      </c>
      <c r="P371" s="22">
        <f t="shared" si="111"/>
      </c>
      <c r="Q371" s="23">
        <f t="shared" si="112"/>
      </c>
      <c r="R371" s="24">
        <f t="shared" si="113"/>
        <v>0</v>
      </c>
      <c r="S371" s="211">
        <f t="shared" si="102"/>
      </c>
      <c r="T371" s="39"/>
      <c r="AB371" s="136">
        <f t="shared" si="104"/>
      </c>
      <c r="AC371" s="136">
        <f t="shared" si="105"/>
      </c>
      <c r="AD371" s="136">
        <f t="shared" si="106"/>
      </c>
    </row>
    <row r="372" spans="6:30" ht="16.5" customHeight="1">
      <c r="F372" s="210">
        <f t="shared" si="107"/>
        <v>367</v>
      </c>
      <c r="G372" s="28">
        <f t="shared" si="103"/>
      </c>
      <c r="H372" s="29">
        <f t="shared" si="101"/>
      </c>
      <c r="I372" s="22">
        <f t="shared" si="114"/>
      </c>
      <c r="J372" s="30">
        <f t="shared" si="108"/>
      </c>
      <c r="K372" s="23">
        <f t="shared" si="115"/>
      </c>
      <c r="L372" s="29">
        <f t="shared" si="109"/>
      </c>
      <c r="M372" s="22">
        <f t="shared" si="110"/>
      </c>
      <c r="N372" s="23">
        <f t="shared" si="116"/>
      </c>
      <c r="O372" s="29">
        <f t="shared" si="117"/>
      </c>
      <c r="P372" s="22">
        <f t="shared" si="111"/>
      </c>
      <c r="Q372" s="23">
        <f t="shared" si="112"/>
      </c>
      <c r="R372" s="24">
        <f t="shared" si="113"/>
        <v>0</v>
      </c>
      <c r="S372" s="211">
        <f t="shared" si="102"/>
      </c>
      <c r="T372" s="39"/>
      <c r="AB372" s="136">
        <f t="shared" si="104"/>
      </c>
      <c r="AC372" s="136">
        <f t="shared" si="105"/>
      </c>
      <c r="AD372" s="136">
        <f t="shared" si="106"/>
      </c>
    </row>
    <row r="373" spans="6:30" ht="16.5" customHeight="1">
      <c r="F373" s="210">
        <f t="shared" si="107"/>
        <v>368</v>
      </c>
      <c r="G373" s="28">
        <f t="shared" si="103"/>
      </c>
      <c r="H373" s="29">
        <f t="shared" si="101"/>
      </c>
      <c r="I373" s="22">
        <f t="shared" si="114"/>
      </c>
      <c r="J373" s="30">
        <f t="shared" si="108"/>
      </c>
      <c r="K373" s="23">
        <f t="shared" si="115"/>
      </c>
      <c r="L373" s="29">
        <f t="shared" si="109"/>
      </c>
      <c r="M373" s="22">
        <f t="shared" si="110"/>
      </c>
      <c r="N373" s="23">
        <f t="shared" si="116"/>
      </c>
      <c r="O373" s="29">
        <f t="shared" si="117"/>
      </c>
      <c r="P373" s="22">
        <f t="shared" si="111"/>
      </c>
      <c r="Q373" s="23">
        <f t="shared" si="112"/>
      </c>
      <c r="R373" s="24">
        <f t="shared" si="113"/>
        <v>0</v>
      </c>
      <c r="S373" s="211">
        <f t="shared" si="102"/>
      </c>
      <c r="T373" s="39"/>
      <c r="AB373" s="136">
        <f t="shared" si="104"/>
      </c>
      <c r="AC373" s="136">
        <f t="shared" si="105"/>
      </c>
      <c r="AD373" s="136">
        <f t="shared" si="106"/>
      </c>
    </row>
    <row r="374" spans="6:30" ht="16.5" customHeight="1">
      <c r="F374" s="210">
        <f t="shared" si="107"/>
        <v>369</v>
      </c>
      <c r="G374" s="28">
        <f t="shared" si="103"/>
      </c>
      <c r="H374" s="29">
        <f t="shared" si="101"/>
      </c>
      <c r="I374" s="22">
        <f t="shared" si="114"/>
      </c>
      <c r="J374" s="30">
        <f t="shared" si="108"/>
      </c>
      <c r="K374" s="23">
        <f t="shared" si="115"/>
      </c>
      <c r="L374" s="29">
        <f t="shared" si="109"/>
      </c>
      <c r="M374" s="22">
        <f t="shared" si="110"/>
      </c>
      <c r="N374" s="23">
        <f t="shared" si="116"/>
      </c>
      <c r="O374" s="29">
        <f t="shared" si="117"/>
      </c>
      <c r="P374" s="22">
        <f t="shared" si="111"/>
      </c>
      <c r="Q374" s="23">
        <f t="shared" si="112"/>
      </c>
      <c r="R374" s="24">
        <f t="shared" si="113"/>
        <v>0</v>
      </c>
      <c r="S374" s="211">
        <f t="shared" si="102"/>
      </c>
      <c r="T374" s="39"/>
      <c r="AB374" s="136">
        <f t="shared" si="104"/>
      </c>
      <c r="AC374" s="136">
        <f t="shared" si="105"/>
      </c>
      <c r="AD374" s="136">
        <f t="shared" si="106"/>
      </c>
    </row>
    <row r="375" spans="6:30" ht="16.5" customHeight="1">
      <c r="F375" s="210">
        <f t="shared" si="107"/>
        <v>370</v>
      </c>
      <c r="G375" s="28">
        <f t="shared" si="103"/>
      </c>
      <c r="H375" s="29">
        <f aca="true" t="shared" si="118" ref="H375:H438">IF(H374="","",IF(G375&gt;DATE(YEAR(D$11),MONTH(D$11)+1,0),"",IF(DAY(G375)&lt;&gt;D$9,DATE(YEAR(G375),MONTH(G375)+1,0),G375)))</f>
      </c>
      <c r="I375" s="22">
        <f t="shared" si="114"/>
      </c>
      <c r="J375" s="30">
        <f t="shared" si="108"/>
      </c>
      <c r="K375" s="23">
        <f t="shared" si="115"/>
      </c>
      <c r="L375" s="29">
        <f t="shared" si="109"/>
      </c>
      <c r="M375" s="22">
        <f t="shared" si="110"/>
      </c>
      <c r="N375" s="23">
        <f t="shared" si="116"/>
      </c>
      <c r="O375" s="29">
        <f t="shared" si="117"/>
      </c>
      <c r="P375" s="22">
        <f t="shared" si="111"/>
      </c>
      <c r="Q375" s="23">
        <f t="shared" si="112"/>
      </c>
      <c r="R375" s="24">
        <f t="shared" si="113"/>
        <v>0</v>
      </c>
      <c r="S375" s="211">
        <f t="shared" si="102"/>
      </c>
      <c r="T375" s="39"/>
      <c r="AB375" s="136">
        <f t="shared" si="104"/>
      </c>
      <c r="AC375" s="136">
        <f t="shared" si="105"/>
      </c>
      <c r="AD375" s="136">
        <f t="shared" si="106"/>
      </c>
    </row>
    <row r="376" spans="6:30" ht="16.5" customHeight="1">
      <c r="F376" s="210">
        <f t="shared" si="107"/>
        <v>371</v>
      </c>
      <c r="G376" s="28">
        <f t="shared" si="103"/>
      </c>
      <c r="H376" s="29">
        <f t="shared" si="118"/>
      </c>
      <c r="I376" s="22">
        <f t="shared" si="114"/>
      </c>
      <c r="J376" s="30">
        <f t="shared" si="108"/>
      </c>
      <c r="K376" s="23">
        <f t="shared" si="115"/>
      </c>
      <c r="L376" s="29">
        <f t="shared" si="109"/>
      </c>
      <c r="M376" s="22">
        <f t="shared" si="110"/>
      </c>
      <c r="N376" s="23">
        <f t="shared" si="116"/>
      </c>
      <c r="O376" s="29">
        <f t="shared" si="117"/>
      </c>
      <c r="P376" s="22">
        <f t="shared" si="111"/>
      </c>
      <c r="Q376" s="23">
        <f t="shared" si="112"/>
      </c>
      <c r="R376" s="24">
        <f t="shared" si="113"/>
        <v>0</v>
      </c>
      <c r="S376" s="211">
        <f t="shared" si="102"/>
      </c>
      <c r="T376" s="39"/>
      <c r="AB376" s="136">
        <f t="shared" si="104"/>
      </c>
      <c r="AC376" s="136">
        <f t="shared" si="105"/>
      </c>
      <c r="AD376" s="136">
        <f t="shared" si="106"/>
      </c>
    </row>
    <row r="377" spans="6:30" ht="16.5" customHeight="1">
      <c r="F377" s="210">
        <f t="shared" si="107"/>
        <v>372</v>
      </c>
      <c r="G377" s="28">
        <f t="shared" si="103"/>
      </c>
      <c r="H377" s="29">
        <f t="shared" si="118"/>
      </c>
      <c r="I377" s="22">
        <f t="shared" si="114"/>
      </c>
      <c r="J377" s="30">
        <f t="shared" si="108"/>
      </c>
      <c r="K377" s="23">
        <f t="shared" si="115"/>
      </c>
      <c r="L377" s="29">
        <f t="shared" si="109"/>
      </c>
      <c r="M377" s="22">
        <f t="shared" si="110"/>
      </c>
      <c r="N377" s="23">
        <f t="shared" si="116"/>
      </c>
      <c r="O377" s="29">
        <f t="shared" si="117"/>
      </c>
      <c r="P377" s="22">
        <f t="shared" si="111"/>
      </c>
      <c r="Q377" s="23">
        <f t="shared" si="112"/>
      </c>
      <c r="R377" s="24">
        <f t="shared" si="113"/>
        <v>0</v>
      </c>
      <c r="S377" s="211">
        <f t="shared" si="102"/>
      </c>
      <c r="T377" s="39"/>
      <c r="AB377" s="136">
        <f t="shared" si="104"/>
      </c>
      <c r="AC377" s="136">
        <f t="shared" si="105"/>
      </c>
      <c r="AD377" s="136">
        <f t="shared" si="106"/>
      </c>
    </row>
    <row r="378" spans="6:30" ht="16.5" customHeight="1">
      <c r="F378" s="210">
        <f t="shared" si="107"/>
        <v>373</v>
      </c>
      <c r="G378" s="28">
        <f t="shared" si="103"/>
      </c>
      <c r="H378" s="29">
        <f t="shared" si="118"/>
      </c>
      <c r="I378" s="22">
        <f t="shared" si="114"/>
      </c>
      <c r="J378" s="30">
        <f t="shared" si="108"/>
      </c>
      <c r="K378" s="23">
        <f t="shared" si="115"/>
      </c>
      <c r="L378" s="29">
        <f t="shared" si="109"/>
      </c>
      <c r="M378" s="22">
        <f t="shared" si="110"/>
      </c>
      <c r="N378" s="23">
        <f t="shared" si="116"/>
      </c>
      <c r="O378" s="29">
        <f t="shared" si="117"/>
      </c>
      <c r="P378" s="22">
        <f t="shared" si="111"/>
      </c>
      <c r="Q378" s="23">
        <f t="shared" si="112"/>
      </c>
      <c r="R378" s="24">
        <f t="shared" si="113"/>
        <v>0</v>
      </c>
      <c r="S378" s="211">
        <f t="shared" si="102"/>
      </c>
      <c r="T378" s="39"/>
      <c r="AB378" s="136">
        <f t="shared" si="104"/>
      </c>
      <c r="AC378" s="136">
        <f t="shared" si="105"/>
      </c>
      <c r="AD378" s="136">
        <f t="shared" si="106"/>
      </c>
    </row>
    <row r="379" spans="6:30" ht="16.5" customHeight="1">
      <c r="F379" s="210">
        <f t="shared" si="107"/>
        <v>374</v>
      </c>
      <c r="G379" s="28">
        <f t="shared" si="103"/>
      </c>
      <c r="H379" s="29">
        <f t="shared" si="118"/>
      </c>
      <c r="I379" s="22">
        <f t="shared" si="114"/>
      </c>
      <c r="J379" s="30">
        <f t="shared" si="108"/>
      </c>
      <c r="K379" s="23">
        <f t="shared" si="115"/>
      </c>
      <c r="L379" s="29">
        <f t="shared" si="109"/>
      </c>
      <c r="M379" s="22">
        <f t="shared" si="110"/>
      </c>
      <c r="N379" s="23">
        <f t="shared" si="116"/>
      </c>
      <c r="O379" s="29">
        <f t="shared" si="117"/>
      </c>
      <c r="P379" s="22">
        <f t="shared" si="111"/>
      </c>
      <c r="Q379" s="23">
        <f t="shared" si="112"/>
      </c>
      <c r="R379" s="24">
        <f t="shared" si="113"/>
        <v>0</v>
      </c>
      <c r="S379" s="211">
        <f t="shared" si="102"/>
      </c>
      <c r="T379" s="39"/>
      <c r="AB379" s="136">
        <f t="shared" si="104"/>
      </c>
      <c r="AC379" s="136">
        <f t="shared" si="105"/>
      </c>
      <c r="AD379" s="136">
        <f t="shared" si="106"/>
      </c>
    </row>
    <row r="380" spans="6:30" ht="16.5" customHeight="1">
      <c r="F380" s="210">
        <f t="shared" si="107"/>
        <v>375</v>
      </c>
      <c r="G380" s="28">
        <f t="shared" si="103"/>
      </c>
      <c r="H380" s="29">
        <f t="shared" si="118"/>
      </c>
      <c r="I380" s="22">
        <f t="shared" si="114"/>
      </c>
      <c r="J380" s="30">
        <f t="shared" si="108"/>
      </c>
      <c r="K380" s="23">
        <f t="shared" si="115"/>
      </c>
      <c r="L380" s="29">
        <f t="shared" si="109"/>
      </c>
      <c r="M380" s="22">
        <f t="shared" si="110"/>
      </c>
      <c r="N380" s="23">
        <f t="shared" si="116"/>
      </c>
      <c r="O380" s="29">
        <f t="shared" si="117"/>
      </c>
      <c r="P380" s="22">
        <f t="shared" si="111"/>
      </c>
      <c r="Q380" s="23">
        <f t="shared" si="112"/>
      </c>
      <c r="R380" s="24">
        <f t="shared" si="113"/>
        <v>0</v>
      </c>
      <c r="S380" s="211">
        <f t="shared" si="102"/>
      </c>
      <c r="T380" s="39"/>
      <c r="AB380" s="136">
        <f t="shared" si="104"/>
      </c>
      <c r="AC380" s="136">
        <f t="shared" si="105"/>
      </c>
      <c r="AD380" s="136">
        <f t="shared" si="106"/>
      </c>
    </row>
    <row r="381" spans="6:30" ht="16.5" customHeight="1">
      <c r="F381" s="210">
        <f t="shared" si="107"/>
        <v>376</v>
      </c>
      <c r="G381" s="28">
        <f t="shared" si="103"/>
      </c>
      <c r="H381" s="29">
        <f t="shared" si="118"/>
      </c>
      <c r="I381" s="22">
        <f t="shared" si="114"/>
      </c>
      <c r="J381" s="30">
        <f t="shared" si="108"/>
      </c>
      <c r="K381" s="23">
        <f t="shared" si="115"/>
      </c>
      <c r="L381" s="29">
        <f t="shared" si="109"/>
      </c>
      <c r="M381" s="22">
        <f t="shared" si="110"/>
      </c>
      <c r="N381" s="23">
        <f t="shared" si="116"/>
      </c>
      <c r="O381" s="29">
        <f t="shared" si="117"/>
      </c>
      <c r="P381" s="22">
        <f t="shared" si="111"/>
      </c>
      <c r="Q381" s="23">
        <f t="shared" si="112"/>
      </c>
      <c r="R381" s="24">
        <f t="shared" si="113"/>
        <v>0</v>
      </c>
      <c r="S381" s="211">
        <f t="shared" si="102"/>
      </c>
      <c r="T381" s="39"/>
      <c r="AB381" s="136">
        <f t="shared" si="104"/>
      </c>
      <c r="AC381" s="136">
        <f t="shared" si="105"/>
      </c>
      <c r="AD381" s="136">
        <f t="shared" si="106"/>
      </c>
    </row>
    <row r="382" spans="6:30" ht="16.5" customHeight="1">
      <c r="F382" s="210">
        <f t="shared" si="107"/>
        <v>377</v>
      </c>
      <c r="G382" s="28">
        <f t="shared" si="103"/>
      </c>
      <c r="H382" s="29">
        <f t="shared" si="118"/>
      </c>
      <c r="I382" s="22">
        <f t="shared" si="114"/>
      </c>
      <c r="J382" s="30">
        <f t="shared" si="108"/>
      </c>
      <c r="K382" s="23">
        <f t="shared" si="115"/>
      </c>
      <c r="L382" s="29">
        <f t="shared" si="109"/>
      </c>
      <c r="M382" s="22">
        <f t="shared" si="110"/>
      </c>
      <c r="N382" s="23">
        <f t="shared" si="116"/>
      </c>
      <c r="O382" s="29">
        <f t="shared" si="117"/>
      </c>
      <c r="P382" s="22">
        <f t="shared" si="111"/>
      </c>
      <c r="Q382" s="23">
        <f t="shared" si="112"/>
      </c>
      <c r="R382" s="24">
        <f t="shared" si="113"/>
        <v>0</v>
      </c>
      <c r="S382" s="211">
        <f t="shared" si="102"/>
      </c>
      <c r="T382" s="39"/>
      <c r="AB382" s="136">
        <f t="shared" si="104"/>
      </c>
      <c r="AC382" s="136">
        <f t="shared" si="105"/>
      </c>
      <c r="AD382" s="136">
        <f t="shared" si="106"/>
      </c>
    </row>
    <row r="383" spans="6:30" ht="16.5" customHeight="1">
      <c r="F383" s="210">
        <f t="shared" si="107"/>
        <v>378</v>
      </c>
      <c r="G383" s="28">
        <f t="shared" si="103"/>
      </c>
      <c r="H383" s="29">
        <f t="shared" si="118"/>
      </c>
      <c r="I383" s="22">
        <f t="shared" si="114"/>
      </c>
      <c r="J383" s="30">
        <f t="shared" si="108"/>
      </c>
      <c r="K383" s="23">
        <f t="shared" si="115"/>
      </c>
      <c r="L383" s="29">
        <f t="shared" si="109"/>
      </c>
      <c r="M383" s="22">
        <f t="shared" si="110"/>
      </c>
      <c r="N383" s="23">
        <f t="shared" si="116"/>
      </c>
      <c r="O383" s="29">
        <f t="shared" si="117"/>
      </c>
      <c r="P383" s="22">
        <f t="shared" si="111"/>
      </c>
      <c r="Q383" s="23">
        <f t="shared" si="112"/>
      </c>
      <c r="R383" s="24">
        <f t="shared" si="113"/>
        <v>0</v>
      </c>
      <c r="S383" s="211">
        <f t="shared" si="102"/>
      </c>
      <c r="T383" s="39"/>
      <c r="AB383" s="136">
        <f t="shared" si="104"/>
      </c>
      <c r="AC383" s="136">
        <f t="shared" si="105"/>
      </c>
      <c r="AD383" s="136">
        <f t="shared" si="106"/>
      </c>
    </row>
    <row r="384" spans="6:30" ht="16.5" customHeight="1">
      <c r="F384" s="210">
        <f t="shared" si="107"/>
        <v>379</v>
      </c>
      <c r="G384" s="28">
        <f t="shared" si="103"/>
      </c>
      <c r="H384" s="29">
        <f t="shared" si="118"/>
      </c>
      <c r="I384" s="22">
        <f t="shared" si="114"/>
      </c>
      <c r="J384" s="30">
        <f t="shared" si="108"/>
      </c>
      <c r="K384" s="23">
        <f t="shared" si="115"/>
      </c>
      <c r="L384" s="29">
        <f t="shared" si="109"/>
      </c>
      <c r="M384" s="22">
        <f t="shared" si="110"/>
      </c>
      <c r="N384" s="23">
        <f t="shared" si="116"/>
      </c>
      <c r="O384" s="29">
        <f t="shared" si="117"/>
      </c>
      <c r="P384" s="22">
        <f t="shared" si="111"/>
      </c>
      <c r="Q384" s="23">
        <f t="shared" si="112"/>
      </c>
      <c r="R384" s="24">
        <f t="shared" si="113"/>
        <v>0</v>
      </c>
      <c r="S384" s="211">
        <f t="shared" si="102"/>
      </c>
      <c r="T384" s="39"/>
      <c r="AB384" s="136">
        <f t="shared" si="104"/>
      </c>
      <c r="AC384" s="136">
        <f t="shared" si="105"/>
      </c>
      <c r="AD384" s="136">
        <f t="shared" si="106"/>
      </c>
    </row>
    <row r="385" spans="6:30" ht="16.5" customHeight="1">
      <c r="F385" s="210">
        <f t="shared" si="107"/>
        <v>380</v>
      </c>
      <c r="G385" s="28">
        <f t="shared" si="103"/>
      </c>
      <c r="H385" s="29">
        <f t="shared" si="118"/>
      </c>
      <c r="I385" s="22">
        <f t="shared" si="114"/>
      </c>
      <c r="J385" s="30">
        <f t="shared" si="108"/>
      </c>
      <c r="K385" s="23">
        <f t="shared" si="115"/>
      </c>
      <c r="L385" s="29">
        <f t="shared" si="109"/>
      </c>
      <c r="M385" s="22">
        <f t="shared" si="110"/>
      </c>
      <c r="N385" s="23">
        <f t="shared" si="116"/>
      </c>
      <c r="O385" s="29">
        <f t="shared" si="117"/>
      </c>
      <c r="P385" s="22">
        <f t="shared" si="111"/>
      </c>
      <c r="Q385" s="23">
        <f t="shared" si="112"/>
      </c>
      <c r="R385" s="24">
        <f t="shared" si="113"/>
        <v>0</v>
      </c>
      <c r="S385" s="211">
        <f t="shared" si="102"/>
      </c>
      <c r="T385" s="39"/>
      <c r="AB385" s="136">
        <f t="shared" si="104"/>
      </c>
      <c r="AC385" s="136">
        <f t="shared" si="105"/>
      </c>
      <c r="AD385" s="136">
        <f t="shared" si="106"/>
      </c>
    </row>
    <row r="386" spans="6:30" ht="16.5" customHeight="1">
      <c r="F386" s="210">
        <f t="shared" si="107"/>
        <v>381</v>
      </c>
      <c r="G386" s="28">
        <f t="shared" si="103"/>
      </c>
      <c r="H386" s="29">
        <f t="shared" si="118"/>
      </c>
      <c r="I386" s="22">
        <f t="shared" si="114"/>
      </c>
      <c r="J386" s="30">
        <f t="shared" si="108"/>
      </c>
      <c r="K386" s="23">
        <f t="shared" si="115"/>
      </c>
      <c r="L386" s="29">
        <f t="shared" si="109"/>
      </c>
      <c r="M386" s="22">
        <f t="shared" si="110"/>
      </c>
      <c r="N386" s="23">
        <f t="shared" si="116"/>
      </c>
      <c r="O386" s="29">
        <f t="shared" si="117"/>
      </c>
      <c r="P386" s="22">
        <f t="shared" si="111"/>
      </c>
      <c r="Q386" s="23">
        <f t="shared" si="112"/>
      </c>
      <c r="R386" s="24">
        <f t="shared" si="113"/>
        <v>0</v>
      </c>
      <c r="S386" s="211">
        <f t="shared" si="102"/>
      </c>
      <c r="T386" s="39"/>
      <c r="AB386" s="136">
        <f t="shared" si="104"/>
      </c>
      <c r="AC386" s="136">
        <f t="shared" si="105"/>
      </c>
      <c r="AD386" s="136">
        <f t="shared" si="106"/>
      </c>
    </row>
    <row r="387" spans="6:30" ht="16.5" customHeight="1">
      <c r="F387" s="210">
        <f t="shared" si="107"/>
        <v>382</v>
      </c>
      <c r="G387" s="28">
        <f t="shared" si="103"/>
      </c>
      <c r="H387" s="29">
        <f t="shared" si="118"/>
      </c>
      <c r="I387" s="22">
        <f t="shared" si="114"/>
      </c>
      <c r="J387" s="30">
        <f t="shared" si="108"/>
      </c>
      <c r="K387" s="23">
        <f t="shared" si="115"/>
      </c>
      <c r="L387" s="29">
        <f t="shared" si="109"/>
      </c>
      <c r="M387" s="22">
        <f t="shared" si="110"/>
      </c>
      <c r="N387" s="23">
        <f t="shared" si="116"/>
      </c>
      <c r="O387" s="29">
        <f t="shared" si="117"/>
      </c>
      <c r="P387" s="22">
        <f t="shared" si="111"/>
      </c>
      <c r="Q387" s="23">
        <f t="shared" si="112"/>
      </c>
      <c r="R387" s="24">
        <f t="shared" si="113"/>
        <v>0</v>
      </c>
      <c r="S387" s="211">
        <f t="shared" si="102"/>
      </c>
      <c r="T387" s="39"/>
      <c r="AB387" s="136">
        <f t="shared" si="104"/>
      </c>
      <c r="AC387" s="136">
        <f t="shared" si="105"/>
      </c>
      <c r="AD387" s="136">
        <f t="shared" si="106"/>
      </c>
    </row>
    <row r="388" spans="6:30" ht="16.5" customHeight="1">
      <c r="F388" s="210">
        <f t="shared" si="107"/>
        <v>383</v>
      </c>
      <c r="G388" s="28">
        <f t="shared" si="103"/>
      </c>
      <c r="H388" s="29">
        <f t="shared" si="118"/>
      </c>
      <c r="I388" s="22">
        <f t="shared" si="114"/>
      </c>
      <c r="J388" s="30">
        <f t="shared" si="108"/>
      </c>
      <c r="K388" s="23">
        <f t="shared" si="115"/>
      </c>
      <c r="L388" s="29">
        <f t="shared" si="109"/>
      </c>
      <c r="M388" s="22">
        <f t="shared" si="110"/>
      </c>
      <c r="N388" s="23">
        <f t="shared" si="116"/>
      </c>
      <c r="O388" s="29">
        <f t="shared" si="117"/>
      </c>
      <c r="P388" s="22">
        <f t="shared" si="111"/>
      </c>
      <c r="Q388" s="23">
        <f t="shared" si="112"/>
      </c>
      <c r="R388" s="24">
        <f t="shared" si="113"/>
        <v>0</v>
      </c>
      <c r="S388" s="211">
        <f t="shared" si="102"/>
      </c>
      <c r="T388" s="39"/>
      <c r="AB388" s="136">
        <f t="shared" si="104"/>
      </c>
      <c r="AC388" s="136">
        <f t="shared" si="105"/>
      </c>
      <c r="AD388" s="136">
        <f t="shared" si="106"/>
      </c>
    </row>
    <row r="389" spans="6:30" ht="16.5" customHeight="1">
      <c r="F389" s="210">
        <f t="shared" si="107"/>
        <v>384</v>
      </c>
      <c r="G389" s="28">
        <f t="shared" si="103"/>
      </c>
      <c r="H389" s="29">
        <f t="shared" si="118"/>
      </c>
      <c r="I389" s="22">
        <f t="shared" si="114"/>
      </c>
      <c r="J389" s="30">
        <f t="shared" si="108"/>
      </c>
      <c r="K389" s="23">
        <f t="shared" si="115"/>
      </c>
      <c r="L389" s="29">
        <f t="shared" si="109"/>
      </c>
      <c r="M389" s="22">
        <f t="shared" si="110"/>
      </c>
      <c r="N389" s="23">
        <f t="shared" si="116"/>
      </c>
      <c r="O389" s="29">
        <f t="shared" si="117"/>
      </c>
      <c r="P389" s="22">
        <f t="shared" si="111"/>
      </c>
      <c r="Q389" s="23">
        <f t="shared" si="112"/>
      </c>
      <c r="R389" s="24">
        <f t="shared" si="113"/>
        <v>0</v>
      </c>
      <c r="S389" s="211">
        <f t="shared" si="102"/>
      </c>
      <c r="T389" s="39"/>
      <c r="AB389" s="136">
        <f t="shared" si="104"/>
      </c>
      <c r="AC389" s="136">
        <f t="shared" si="105"/>
      </c>
      <c r="AD389" s="136">
        <f t="shared" si="106"/>
      </c>
    </row>
    <row r="390" spans="6:30" ht="16.5" customHeight="1">
      <c r="F390" s="210">
        <f t="shared" si="107"/>
        <v>385</v>
      </c>
      <c r="G390" s="28">
        <f t="shared" si="103"/>
      </c>
      <c r="H390" s="29">
        <f t="shared" si="118"/>
      </c>
      <c r="I390" s="22">
        <f t="shared" si="114"/>
      </c>
      <c r="J390" s="30">
        <f t="shared" si="108"/>
      </c>
      <c r="K390" s="23">
        <f t="shared" si="115"/>
      </c>
      <c r="L390" s="29">
        <f t="shared" si="109"/>
      </c>
      <c r="M390" s="22">
        <f t="shared" si="110"/>
      </c>
      <c r="N390" s="23">
        <f t="shared" si="116"/>
      </c>
      <c r="O390" s="29">
        <f t="shared" si="117"/>
      </c>
      <c r="P390" s="22">
        <f t="shared" si="111"/>
      </c>
      <c r="Q390" s="23">
        <f t="shared" si="112"/>
      </c>
      <c r="R390" s="24">
        <f t="shared" si="113"/>
        <v>0</v>
      </c>
      <c r="S390" s="211">
        <f aca="true" t="shared" si="119" ref="S390:S453">IF(AND(H390="",L390=""),"",IF(ISERROR(YEAR(H390)),YEAR(L390),YEAR(H390)))</f>
      </c>
      <c r="T390" s="39"/>
      <c r="AB390" s="136">
        <f t="shared" si="104"/>
      </c>
      <c r="AC390" s="136">
        <f t="shared" si="105"/>
      </c>
      <c r="AD390" s="136">
        <f t="shared" si="106"/>
      </c>
    </row>
    <row r="391" spans="6:30" ht="16.5" customHeight="1">
      <c r="F391" s="210">
        <f t="shared" si="107"/>
        <v>386</v>
      </c>
      <c r="G391" s="28">
        <f aca="true" t="shared" si="120" ref="G391:G454">IF(OR(G390="",AND(G390&gt;D$11,J390&gt;D$27)),"",DATE(YEAR(G$6),MONTH(G$6)+F390+IF(OR(D$9="末",D$9=31),1,0),IF(OR(D$9="末",D$9=31),0,D$9)))</f>
      </c>
      <c r="H391" s="29">
        <f t="shared" si="118"/>
      </c>
      <c r="I391" s="22">
        <f t="shared" si="114"/>
      </c>
      <c r="J391" s="30">
        <f t="shared" si="108"/>
      </c>
      <c r="K391" s="23">
        <f t="shared" si="115"/>
      </c>
      <c r="L391" s="29">
        <f t="shared" si="109"/>
      </c>
      <c r="M391" s="22">
        <f t="shared" si="110"/>
      </c>
      <c r="N391" s="23">
        <f t="shared" si="116"/>
      </c>
      <c r="O391" s="29">
        <f t="shared" si="117"/>
      </c>
      <c r="P391" s="22">
        <f t="shared" si="111"/>
      </c>
      <c r="Q391" s="23">
        <f t="shared" si="112"/>
      </c>
      <c r="R391" s="24">
        <f t="shared" si="113"/>
        <v>0</v>
      </c>
      <c r="S391" s="211">
        <f t="shared" si="119"/>
      </c>
      <c r="T391" s="39"/>
      <c r="AB391" s="136">
        <f aca="true" t="shared" si="121" ref="AB391:AB454">IF(H391="","",IF(AND(MONTH(D$6)=MONTH(H391)),YEAR(H391)-YEAR(D$6)&amp;"歳誕生月",""))</f>
      </c>
      <c r="AC391" s="136">
        <f aca="true" t="shared" si="122" ref="AC391:AC454">IF(L391="","",IF(AND(MONTH(D$22)=MONTH(L391)),YEAR(L391)-YEAR(D$22)&amp;"歳誕生月",""))</f>
      </c>
      <c r="AD391" s="136">
        <f aca="true" t="shared" si="123" ref="AD391:AD454">IF(O391="","",IF(AND(MONTH(D$38)=MONTH(O391)),YEAR(O391)-YEAR(D$38)&amp;"歳誕生月",""))</f>
      </c>
    </row>
    <row r="392" spans="6:30" ht="16.5" customHeight="1">
      <c r="F392" s="210">
        <f aca="true" t="shared" si="124" ref="F392:F455">F391+1</f>
        <v>387</v>
      </c>
      <c r="G392" s="28">
        <f t="shared" si="120"/>
      </c>
      <c r="H392" s="29">
        <f t="shared" si="118"/>
      </c>
      <c r="I392" s="22">
        <f t="shared" si="114"/>
      </c>
      <c r="J392" s="30">
        <f aca="true" t="shared" si="125" ref="J392:J455">IF(OR(J391="",J391&gt;D$27),"",DATE(YEAR(J$6),MONTH(J$6)+F391+IF(OR(D$25="末",D$25=31),1,0),IF(OR(D$25="末",D$25=31),0,D$25)))</f>
      </c>
      <c r="K392" s="23">
        <f t="shared" si="115"/>
      </c>
      <c r="L392" s="29">
        <f aca="true" t="shared" si="126" ref="L392:L455">IF(L391="","",IF(AND(J392&gt;DATE(YEAR(D$27),MONTH(D$27)+1,0),J392&gt;D$11),"",IF(DAY(J392)&lt;&gt;D$25,DATE(YEAR(J392),MONTH(J392)+1,0),J392)))</f>
      </c>
      <c r="M392" s="22">
        <f aca="true" t="shared" si="127" ref="M392:M455">IF(L392="","",IF(AND(D$28&lt;&gt;0,L392&gt;D$28),D$29,M391))</f>
      </c>
      <c r="N392" s="23">
        <f t="shared" si="116"/>
      </c>
      <c r="O392" s="29">
        <f t="shared" si="117"/>
      </c>
      <c r="P392" s="22">
        <f aca="true" t="shared" si="128" ref="P392:P455">IF(O392="","",IF(AND(D$44&lt;&gt;0,O392&gt;D$44),D$45,P391))</f>
      </c>
      <c r="Q392" s="23">
        <f aca="true" t="shared" si="129" ref="Q392:Q455">IF(O392="","",AD392)</f>
      </c>
      <c r="R392" s="24">
        <f aca="true" t="shared" si="130" ref="R392:R455">IF(I392="",0,I392)+IF(M392="",0,M392)+IF(P392="",0,P392)</f>
        <v>0</v>
      </c>
      <c r="S392" s="211">
        <f t="shared" si="119"/>
      </c>
      <c r="T392" s="39"/>
      <c r="AB392" s="136">
        <f t="shared" si="121"/>
      </c>
      <c r="AC392" s="136">
        <f t="shared" si="122"/>
      </c>
      <c r="AD392" s="136">
        <f t="shared" si="123"/>
      </c>
    </row>
    <row r="393" spans="6:30" ht="16.5" customHeight="1">
      <c r="F393" s="210">
        <f t="shared" si="124"/>
        <v>388</v>
      </c>
      <c r="G393" s="28">
        <f t="shared" si="120"/>
      </c>
      <c r="H393" s="29">
        <f t="shared" si="118"/>
      </c>
      <c r="I393" s="22">
        <f aca="true" t="shared" si="131" ref="I393:I456">IF(H393="","",IF(AND(D$12&lt;&gt;0,H393&gt;D$12),D$13,I392))</f>
      </c>
      <c r="J393" s="30">
        <f t="shared" si="125"/>
      </c>
      <c r="K393" s="23">
        <f aca="true" t="shared" si="132" ref="K393:K456">IF(H393="","",IF(AND(YEAR(H393)=YEAR(D$15),MONTH(H393)=MONTH(D$15)),B$15,IF(AND(YEAR(H393)=YEAR(D$16),MONTH(H393)=MONTH(D$16)),B$16,IF(AND(YEAR(H393)=YEAR(D$17),MONTH(H393)=MONTH(D$17)),B$17,IF(AND(YEAR(H393)=YEAR(D$19),MONTH(H393)=MONTH(D$19)),B$19,IF(AND(YEAR(H393)=YEAR(D$18),MONTH(H393)=MONTH(D$18)),B$18,AB393))))))</f>
      </c>
      <c r="L393" s="29">
        <f t="shared" si="126"/>
      </c>
      <c r="M393" s="22">
        <f t="shared" si="127"/>
      </c>
      <c r="N393" s="23">
        <f aca="true" t="shared" si="133" ref="N393:N456">IF(L393="","",IF(AND(YEAR(L393)=YEAR(D$31),MONTH(L393)=MONTH(D$31)),B$31,IF(AND(YEAR(L393)=YEAR(D$32),MONTH(L393)=MONTH(D$32)),B$32,IF(AND(YEAR(L393)=YEAR(D$33),MONTH(L393)=MONTH(D$33)),B$33,IF(AND(YEAR(L393)=YEAR(D$35),MONTH(L393)=MONTH(D$35)),B$35,IF(AND(YEAR(L393)=YEAR(D$34),MONTH(L393)=MONTH(D$34)),B$34,AC393))))))</f>
      </c>
      <c r="O393" s="29">
        <f t="shared" si="117"/>
      </c>
      <c r="P393" s="22">
        <f t="shared" si="128"/>
      </c>
      <c r="Q393" s="23">
        <f t="shared" si="129"/>
      </c>
      <c r="R393" s="24">
        <f t="shared" si="130"/>
        <v>0</v>
      </c>
      <c r="S393" s="211">
        <f t="shared" si="119"/>
      </c>
      <c r="T393" s="39"/>
      <c r="AB393" s="136">
        <f t="shared" si="121"/>
      </c>
      <c r="AC393" s="136">
        <f t="shared" si="122"/>
      </c>
      <c r="AD393" s="136">
        <f t="shared" si="123"/>
      </c>
    </row>
    <row r="394" spans="6:30" ht="16.5" customHeight="1">
      <c r="F394" s="210">
        <f t="shared" si="124"/>
        <v>389</v>
      </c>
      <c r="G394" s="28">
        <f t="shared" si="120"/>
      </c>
      <c r="H394" s="29">
        <f t="shared" si="118"/>
      </c>
      <c r="I394" s="22">
        <f t="shared" si="131"/>
      </c>
      <c r="J394" s="30">
        <f t="shared" si="125"/>
      </c>
      <c r="K394" s="23">
        <f t="shared" si="132"/>
      </c>
      <c r="L394" s="29">
        <f t="shared" si="126"/>
      </c>
      <c r="M394" s="22">
        <f t="shared" si="127"/>
      </c>
      <c r="N394" s="23">
        <f t="shared" si="133"/>
      </c>
      <c r="O394" s="29">
        <f t="shared" si="117"/>
      </c>
      <c r="P394" s="22">
        <f t="shared" si="128"/>
      </c>
      <c r="Q394" s="23">
        <f t="shared" si="129"/>
      </c>
      <c r="R394" s="24">
        <f t="shared" si="130"/>
        <v>0</v>
      </c>
      <c r="S394" s="211">
        <f t="shared" si="119"/>
      </c>
      <c r="T394" s="39"/>
      <c r="AB394" s="136">
        <f t="shared" si="121"/>
      </c>
      <c r="AC394" s="136">
        <f t="shared" si="122"/>
      </c>
      <c r="AD394" s="136">
        <f t="shared" si="123"/>
      </c>
    </row>
    <row r="395" spans="6:30" ht="16.5" customHeight="1">
      <c r="F395" s="210">
        <f t="shared" si="124"/>
        <v>390</v>
      </c>
      <c r="G395" s="28">
        <f t="shared" si="120"/>
      </c>
      <c r="H395" s="29">
        <f t="shared" si="118"/>
      </c>
      <c r="I395" s="22">
        <f t="shared" si="131"/>
      </c>
      <c r="J395" s="30">
        <f t="shared" si="125"/>
      </c>
      <c r="K395" s="23">
        <f t="shared" si="132"/>
      </c>
      <c r="L395" s="29">
        <f t="shared" si="126"/>
      </c>
      <c r="M395" s="22">
        <f t="shared" si="127"/>
      </c>
      <c r="N395" s="23">
        <f t="shared" si="133"/>
      </c>
      <c r="O395" s="29">
        <f t="shared" si="117"/>
      </c>
      <c r="P395" s="22">
        <f t="shared" si="128"/>
      </c>
      <c r="Q395" s="23">
        <f t="shared" si="129"/>
      </c>
      <c r="R395" s="24">
        <f t="shared" si="130"/>
        <v>0</v>
      </c>
      <c r="S395" s="211">
        <f t="shared" si="119"/>
      </c>
      <c r="T395" s="39"/>
      <c r="AB395" s="136">
        <f t="shared" si="121"/>
      </c>
      <c r="AC395" s="136">
        <f t="shared" si="122"/>
      </c>
      <c r="AD395" s="136">
        <f t="shared" si="123"/>
      </c>
    </row>
    <row r="396" spans="6:30" ht="16.5" customHeight="1">
      <c r="F396" s="210">
        <f t="shared" si="124"/>
        <v>391</v>
      </c>
      <c r="G396" s="28">
        <f t="shared" si="120"/>
      </c>
      <c r="H396" s="29">
        <f t="shared" si="118"/>
      </c>
      <c r="I396" s="22">
        <f t="shared" si="131"/>
      </c>
      <c r="J396" s="30">
        <f t="shared" si="125"/>
      </c>
      <c r="K396" s="23">
        <f t="shared" si="132"/>
      </c>
      <c r="L396" s="29">
        <f t="shared" si="126"/>
      </c>
      <c r="M396" s="22">
        <f t="shared" si="127"/>
      </c>
      <c r="N396" s="23">
        <f t="shared" si="133"/>
      </c>
      <c r="O396" s="29">
        <f t="shared" si="117"/>
      </c>
      <c r="P396" s="22">
        <f t="shared" si="128"/>
      </c>
      <c r="Q396" s="23">
        <f t="shared" si="129"/>
      </c>
      <c r="R396" s="24">
        <f t="shared" si="130"/>
        <v>0</v>
      </c>
      <c r="S396" s="211">
        <f t="shared" si="119"/>
      </c>
      <c r="T396" s="39"/>
      <c r="AB396" s="136">
        <f t="shared" si="121"/>
      </c>
      <c r="AC396" s="136">
        <f t="shared" si="122"/>
      </c>
      <c r="AD396" s="136">
        <f t="shared" si="123"/>
      </c>
    </row>
    <row r="397" spans="6:30" ht="16.5" customHeight="1">
      <c r="F397" s="210">
        <f t="shared" si="124"/>
        <v>392</v>
      </c>
      <c r="G397" s="28">
        <f t="shared" si="120"/>
      </c>
      <c r="H397" s="29">
        <f t="shared" si="118"/>
      </c>
      <c r="I397" s="22">
        <f t="shared" si="131"/>
      </c>
      <c r="J397" s="30">
        <f t="shared" si="125"/>
      </c>
      <c r="K397" s="23">
        <f t="shared" si="132"/>
      </c>
      <c r="L397" s="29">
        <f t="shared" si="126"/>
      </c>
      <c r="M397" s="22">
        <f t="shared" si="127"/>
      </c>
      <c r="N397" s="23">
        <f t="shared" si="133"/>
      </c>
      <c r="O397" s="29">
        <f t="shared" si="117"/>
      </c>
      <c r="P397" s="22">
        <f t="shared" si="128"/>
      </c>
      <c r="Q397" s="23">
        <f t="shared" si="129"/>
      </c>
      <c r="R397" s="24">
        <f t="shared" si="130"/>
        <v>0</v>
      </c>
      <c r="S397" s="211">
        <f t="shared" si="119"/>
      </c>
      <c r="T397" s="39"/>
      <c r="AB397" s="136">
        <f t="shared" si="121"/>
      </c>
      <c r="AC397" s="136">
        <f t="shared" si="122"/>
      </c>
      <c r="AD397" s="136">
        <f t="shared" si="123"/>
      </c>
    </row>
    <row r="398" spans="6:30" ht="16.5" customHeight="1">
      <c r="F398" s="210">
        <f t="shared" si="124"/>
        <v>393</v>
      </c>
      <c r="G398" s="28">
        <f t="shared" si="120"/>
      </c>
      <c r="H398" s="29">
        <f t="shared" si="118"/>
      </c>
      <c r="I398" s="22">
        <f t="shared" si="131"/>
      </c>
      <c r="J398" s="30">
        <f t="shared" si="125"/>
      </c>
      <c r="K398" s="23">
        <f t="shared" si="132"/>
      </c>
      <c r="L398" s="29">
        <f t="shared" si="126"/>
      </c>
      <c r="M398" s="22">
        <f t="shared" si="127"/>
      </c>
      <c r="N398" s="23">
        <f t="shared" si="133"/>
      </c>
      <c r="O398" s="29">
        <f t="shared" si="117"/>
      </c>
      <c r="P398" s="22">
        <f t="shared" si="128"/>
      </c>
      <c r="Q398" s="23">
        <f t="shared" si="129"/>
      </c>
      <c r="R398" s="24">
        <f t="shared" si="130"/>
        <v>0</v>
      </c>
      <c r="S398" s="211">
        <f t="shared" si="119"/>
      </c>
      <c r="T398" s="39"/>
      <c r="AB398" s="136">
        <f t="shared" si="121"/>
      </c>
      <c r="AC398" s="136">
        <f t="shared" si="122"/>
      </c>
      <c r="AD398" s="136">
        <f t="shared" si="123"/>
      </c>
    </row>
    <row r="399" spans="6:30" ht="16.5" customHeight="1">
      <c r="F399" s="210">
        <f t="shared" si="124"/>
        <v>394</v>
      </c>
      <c r="G399" s="28">
        <f t="shared" si="120"/>
      </c>
      <c r="H399" s="29">
        <f t="shared" si="118"/>
      </c>
      <c r="I399" s="22">
        <f t="shared" si="131"/>
      </c>
      <c r="J399" s="30">
        <f t="shared" si="125"/>
      </c>
      <c r="K399" s="23">
        <f t="shared" si="132"/>
      </c>
      <c r="L399" s="29">
        <f t="shared" si="126"/>
      </c>
      <c r="M399" s="22">
        <f t="shared" si="127"/>
      </c>
      <c r="N399" s="23">
        <f t="shared" si="133"/>
      </c>
      <c r="O399" s="29">
        <f t="shared" si="117"/>
      </c>
      <c r="P399" s="22">
        <f t="shared" si="128"/>
      </c>
      <c r="Q399" s="23">
        <f t="shared" si="129"/>
      </c>
      <c r="R399" s="24">
        <f t="shared" si="130"/>
        <v>0</v>
      </c>
      <c r="S399" s="211">
        <f t="shared" si="119"/>
      </c>
      <c r="T399" s="39"/>
      <c r="AB399" s="136">
        <f t="shared" si="121"/>
      </c>
      <c r="AC399" s="136">
        <f t="shared" si="122"/>
      </c>
      <c r="AD399" s="136">
        <f t="shared" si="123"/>
      </c>
    </row>
    <row r="400" spans="6:30" ht="16.5" customHeight="1">
      <c r="F400" s="210">
        <f t="shared" si="124"/>
        <v>395</v>
      </c>
      <c r="G400" s="28">
        <f t="shared" si="120"/>
      </c>
      <c r="H400" s="29">
        <f t="shared" si="118"/>
      </c>
      <c r="I400" s="22">
        <f t="shared" si="131"/>
      </c>
      <c r="J400" s="30">
        <f t="shared" si="125"/>
      </c>
      <c r="K400" s="23">
        <f t="shared" si="132"/>
      </c>
      <c r="L400" s="29">
        <f t="shared" si="126"/>
      </c>
      <c r="M400" s="22">
        <f t="shared" si="127"/>
      </c>
      <c r="N400" s="23">
        <f t="shared" si="133"/>
      </c>
      <c r="O400" s="29">
        <f t="shared" si="117"/>
      </c>
      <c r="P400" s="22">
        <f t="shared" si="128"/>
      </c>
      <c r="Q400" s="23">
        <f t="shared" si="129"/>
      </c>
      <c r="R400" s="24">
        <f t="shared" si="130"/>
        <v>0</v>
      </c>
      <c r="S400" s="211">
        <f t="shared" si="119"/>
      </c>
      <c r="T400" s="39"/>
      <c r="AB400" s="136">
        <f t="shared" si="121"/>
      </c>
      <c r="AC400" s="136">
        <f t="shared" si="122"/>
      </c>
      <c r="AD400" s="136">
        <f t="shared" si="123"/>
      </c>
    </row>
    <row r="401" spans="6:30" ht="16.5" customHeight="1">
      <c r="F401" s="210">
        <f t="shared" si="124"/>
        <v>396</v>
      </c>
      <c r="G401" s="28">
        <f t="shared" si="120"/>
      </c>
      <c r="H401" s="29">
        <f t="shared" si="118"/>
      </c>
      <c r="I401" s="22">
        <f t="shared" si="131"/>
      </c>
      <c r="J401" s="30">
        <f t="shared" si="125"/>
      </c>
      <c r="K401" s="23">
        <f t="shared" si="132"/>
      </c>
      <c r="L401" s="29">
        <f t="shared" si="126"/>
      </c>
      <c r="M401" s="22">
        <f t="shared" si="127"/>
      </c>
      <c r="N401" s="23">
        <f t="shared" si="133"/>
      </c>
      <c r="O401" s="29">
        <f t="shared" si="117"/>
      </c>
      <c r="P401" s="22">
        <f t="shared" si="128"/>
      </c>
      <c r="Q401" s="23">
        <f t="shared" si="129"/>
      </c>
      <c r="R401" s="24">
        <f t="shared" si="130"/>
        <v>0</v>
      </c>
      <c r="S401" s="211">
        <f t="shared" si="119"/>
      </c>
      <c r="T401" s="39"/>
      <c r="AB401" s="136">
        <f t="shared" si="121"/>
      </c>
      <c r="AC401" s="136">
        <f t="shared" si="122"/>
      </c>
      <c r="AD401" s="136">
        <f t="shared" si="123"/>
      </c>
    </row>
    <row r="402" spans="6:30" ht="16.5" customHeight="1">
      <c r="F402" s="210">
        <f t="shared" si="124"/>
        <v>397</v>
      </c>
      <c r="G402" s="28">
        <f t="shared" si="120"/>
      </c>
      <c r="H402" s="29">
        <f t="shared" si="118"/>
      </c>
      <c r="I402" s="22">
        <f t="shared" si="131"/>
      </c>
      <c r="J402" s="30">
        <f t="shared" si="125"/>
      </c>
      <c r="K402" s="23">
        <f t="shared" si="132"/>
      </c>
      <c r="L402" s="29">
        <f t="shared" si="126"/>
      </c>
      <c r="M402" s="22">
        <f t="shared" si="127"/>
      </c>
      <c r="N402" s="23">
        <f t="shared" si="133"/>
      </c>
      <c r="O402" s="29">
        <f t="shared" si="117"/>
      </c>
      <c r="P402" s="22">
        <f t="shared" si="128"/>
      </c>
      <c r="Q402" s="23">
        <f t="shared" si="129"/>
      </c>
      <c r="R402" s="24">
        <f t="shared" si="130"/>
        <v>0</v>
      </c>
      <c r="S402" s="211">
        <f t="shared" si="119"/>
      </c>
      <c r="T402" s="39"/>
      <c r="AB402" s="136">
        <f t="shared" si="121"/>
      </c>
      <c r="AC402" s="136">
        <f t="shared" si="122"/>
      </c>
      <c r="AD402" s="136">
        <f t="shared" si="123"/>
      </c>
    </row>
    <row r="403" spans="6:30" ht="16.5" customHeight="1">
      <c r="F403" s="210">
        <f t="shared" si="124"/>
        <v>398</v>
      </c>
      <c r="G403" s="28">
        <f t="shared" si="120"/>
      </c>
      <c r="H403" s="29">
        <f t="shared" si="118"/>
      </c>
      <c r="I403" s="22">
        <f t="shared" si="131"/>
      </c>
      <c r="J403" s="30">
        <f t="shared" si="125"/>
      </c>
      <c r="K403" s="23">
        <f t="shared" si="132"/>
      </c>
      <c r="L403" s="29">
        <f t="shared" si="126"/>
      </c>
      <c r="M403" s="22">
        <f t="shared" si="127"/>
      </c>
      <c r="N403" s="23">
        <f t="shared" si="133"/>
      </c>
      <c r="O403" s="29">
        <f t="shared" si="117"/>
      </c>
      <c r="P403" s="22">
        <f t="shared" si="128"/>
      </c>
      <c r="Q403" s="23">
        <f t="shared" si="129"/>
      </c>
      <c r="R403" s="24">
        <f t="shared" si="130"/>
        <v>0</v>
      </c>
      <c r="S403" s="211">
        <f t="shared" si="119"/>
      </c>
      <c r="T403" s="39"/>
      <c r="AB403" s="136">
        <f t="shared" si="121"/>
      </c>
      <c r="AC403" s="136">
        <f t="shared" si="122"/>
      </c>
      <c r="AD403" s="136">
        <f t="shared" si="123"/>
      </c>
    </row>
    <row r="404" spans="6:30" ht="16.5" customHeight="1">
      <c r="F404" s="210">
        <f t="shared" si="124"/>
        <v>399</v>
      </c>
      <c r="G404" s="28">
        <f t="shared" si="120"/>
      </c>
      <c r="H404" s="29">
        <f t="shared" si="118"/>
      </c>
      <c r="I404" s="22">
        <f t="shared" si="131"/>
      </c>
      <c r="J404" s="30">
        <f t="shared" si="125"/>
      </c>
      <c r="K404" s="23">
        <f t="shared" si="132"/>
      </c>
      <c r="L404" s="29">
        <f t="shared" si="126"/>
      </c>
      <c r="M404" s="22">
        <f t="shared" si="127"/>
      </c>
      <c r="N404" s="23">
        <f t="shared" si="133"/>
      </c>
      <c r="O404" s="29">
        <f t="shared" si="117"/>
      </c>
      <c r="P404" s="22">
        <f t="shared" si="128"/>
      </c>
      <c r="Q404" s="23">
        <f t="shared" si="129"/>
      </c>
      <c r="R404" s="24">
        <f t="shared" si="130"/>
        <v>0</v>
      </c>
      <c r="S404" s="211">
        <f t="shared" si="119"/>
      </c>
      <c r="T404" s="39"/>
      <c r="AB404" s="136">
        <f t="shared" si="121"/>
      </c>
      <c r="AC404" s="136">
        <f t="shared" si="122"/>
      </c>
      <c r="AD404" s="136">
        <f t="shared" si="123"/>
      </c>
    </row>
    <row r="405" spans="6:30" ht="16.5" customHeight="1">
      <c r="F405" s="210">
        <f t="shared" si="124"/>
        <v>400</v>
      </c>
      <c r="G405" s="28">
        <f t="shared" si="120"/>
      </c>
      <c r="H405" s="29">
        <f t="shared" si="118"/>
      </c>
      <c r="I405" s="22">
        <f t="shared" si="131"/>
      </c>
      <c r="J405" s="30">
        <f t="shared" si="125"/>
      </c>
      <c r="K405" s="23">
        <f t="shared" si="132"/>
      </c>
      <c r="L405" s="29">
        <f t="shared" si="126"/>
      </c>
      <c r="M405" s="22">
        <f t="shared" si="127"/>
      </c>
      <c r="N405" s="23">
        <f t="shared" si="133"/>
      </c>
      <c r="O405" s="29">
        <f t="shared" si="117"/>
      </c>
      <c r="P405" s="22">
        <f t="shared" si="128"/>
      </c>
      <c r="Q405" s="23">
        <f t="shared" si="129"/>
      </c>
      <c r="R405" s="24">
        <f t="shared" si="130"/>
        <v>0</v>
      </c>
      <c r="S405" s="211">
        <f t="shared" si="119"/>
      </c>
      <c r="T405" s="39"/>
      <c r="AB405" s="136">
        <f t="shared" si="121"/>
      </c>
      <c r="AC405" s="136">
        <f t="shared" si="122"/>
      </c>
      <c r="AD405" s="136">
        <f t="shared" si="123"/>
      </c>
    </row>
    <row r="406" spans="6:30" ht="16.5" customHeight="1">
      <c r="F406" s="210">
        <f t="shared" si="124"/>
        <v>401</v>
      </c>
      <c r="G406" s="28">
        <f t="shared" si="120"/>
      </c>
      <c r="H406" s="29">
        <f t="shared" si="118"/>
      </c>
      <c r="I406" s="22">
        <f t="shared" si="131"/>
      </c>
      <c r="J406" s="30">
        <f t="shared" si="125"/>
      </c>
      <c r="K406" s="23">
        <f t="shared" si="132"/>
      </c>
      <c r="L406" s="29">
        <f t="shared" si="126"/>
      </c>
      <c r="M406" s="22">
        <f t="shared" si="127"/>
      </c>
      <c r="N406" s="23">
        <f t="shared" si="133"/>
      </c>
      <c r="O406" s="29">
        <f t="shared" si="117"/>
      </c>
      <c r="P406" s="22">
        <f t="shared" si="128"/>
      </c>
      <c r="Q406" s="23">
        <f t="shared" si="129"/>
      </c>
      <c r="R406" s="24">
        <f t="shared" si="130"/>
        <v>0</v>
      </c>
      <c r="S406" s="211">
        <f t="shared" si="119"/>
      </c>
      <c r="T406" s="39"/>
      <c r="AB406" s="136">
        <f t="shared" si="121"/>
      </c>
      <c r="AC406" s="136">
        <f t="shared" si="122"/>
      </c>
      <c r="AD406" s="136">
        <f t="shared" si="123"/>
      </c>
    </row>
    <row r="407" spans="6:30" ht="16.5" customHeight="1">
      <c r="F407" s="210">
        <f t="shared" si="124"/>
        <v>402</v>
      </c>
      <c r="G407" s="28">
        <f t="shared" si="120"/>
      </c>
      <c r="H407" s="29">
        <f t="shared" si="118"/>
      </c>
      <c r="I407" s="22">
        <f t="shared" si="131"/>
      </c>
      <c r="J407" s="30">
        <f t="shared" si="125"/>
      </c>
      <c r="K407" s="23">
        <f t="shared" si="132"/>
      </c>
      <c r="L407" s="29">
        <f t="shared" si="126"/>
      </c>
      <c r="M407" s="22">
        <f t="shared" si="127"/>
      </c>
      <c r="N407" s="23">
        <f t="shared" si="133"/>
      </c>
      <c r="O407" s="29">
        <f t="shared" si="117"/>
      </c>
      <c r="P407" s="22">
        <f t="shared" si="128"/>
      </c>
      <c r="Q407" s="23">
        <f t="shared" si="129"/>
      </c>
      <c r="R407" s="24">
        <f t="shared" si="130"/>
        <v>0</v>
      </c>
      <c r="S407" s="211">
        <f t="shared" si="119"/>
      </c>
      <c r="T407" s="39"/>
      <c r="AB407" s="136">
        <f t="shared" si="121"/>
      </c>
      <c r="AC407" s="136">
        <f t="shared" si="122"/>
      </c>
      <c r="AD407" s="136">
        <f t="shared" si="123"/>
      </c>
    </row>
    <row r="408" spans="6:30" ht="16.5" customHeight="1">
      <c r="F408" s="210">
        <f t="shared" si="124"/>
        <v>403</v>
      </c>
      <c r="G408" s="28">
        <f t="shared" si="120"/>
      </c>
      <c r="H408" s="29">
        <f t="shared" si="118"/>
      </c>
      <c r="I408" s="22">
        <f t="shared" si="131"/>
      </c>
      <c r="J408" s="30">
        <f t="shared" si="125"/>
      </c>
      <c r="K408" s="23">
        <f t="shared" si="132"/>
      </c>
      <c r="L408" s="29">
        <f t="shared" si="126"/>
      </c>
      <c r="M408" s="22">
        <f t="shared" si="127"/>
      </c>
      <c r="N408" s="23">
        <f t="shared" si="133"/>
      </c>
      <c r="O408" s="29">
        <f t="shared" si="117"/>
      </c>
      <c r="P408" s="22">
        <f t="shared" si="128"/>
      </c>
      <c r="Q408" s="23">
        <f t="shared" si="129"/>
      </c>
      <c r="R408" s="24">
        <f t="shared" si="130"/>
        <v>0</v>
      </c>
      <c r="S408" s="211">
        <f t="shared" si="119"/>
      </c>
      <c r="T408" s="39"/>
      <c r="AB408" s="136">
        <f t="shared" si="121"/>
      </c>
      <c r="AC408" s="136">
        <f t="shared" si="122"/>
      </c>
      <c r="AD408" s="136">
        <f t="shared" si="123"/>
      </c>
    </row>
    <row r="409" spans="6:30" ht="16.5" customHeight="1">
      <c r="F409" s="210">
        <f t="shared" si="124"/>
        <v>404</v>
      </c>
      <c r="G409" s="28">
        <f t="shared" si="120"/>
      </c>
      <c r="H409" s="29">
        <f t="shared" si="118"/>
      </c>
      <c r="I409" s="22">
        <f t="shared" si="131"/>
      </c>
      <c r="J409" s="30">
        <f t="shared" si="125"/>
      </c>
      <c r="K409" s="23">
        <f t="shared" si="132"/>
      </c>
      <c r="L409" s="29">
        <f t="shared" si="126"/>
      </c>
      <c r="M409" s="22">
        <f t="shared" si="127"/>
      </c>
      <c r="N409" s="23">
        <f t="shared" si="133"/>
      </c>
      <c r="O409" s="29">
        <f t="shared" si="117"/>
      </c>
      <c r="P409" s="22">
        <f t="shared" si="128"/>
      </c>
      <c r="Q409" s="23">
        <f t="shared" si="129"/>
      </c>
      <c r="R409" s="24">
        <f t="shared" si="130"/>
        <v>0</v>
      </c>
      <c r="S409" s="211">
        <f t="shared" si="119"/>
      </c>
      <c r="T409" s="39"/>
      <c r="AB409" s="136">
        <f t="shared" si="121"/>
      </c>
      <c r="AC409" s="136">
        <f t="shared" si="122"/>
      </c>
      <c r="AD409" s="136">
        <f t="shared" si="123"/>
      </c>
    </row>
    <row r="410" spans="6:30" ht="16.5" customHeight="1">
      <c r="F410" s="210">
        <f t="shared" si="124"/>
        <v>405</v>
      </c>
      <c r="G410" s="28">
        <f t="shared" si="120"/>
      </c>
      <c r="H410" s="29">
        <f t="shared" si="118"/>
      </c>
      <c r="I410" s="22">
        <f t="shared" si="131"/>
      </c>
      <c r="J410" s="30">
        <f t="shared" si="125"/>
      </c>
      <c r="K410" s="23">
        <f t="shared" si="132"/>
      </c>
      <c r="L410" s="29">
        <f t="shared" si="126"/>
      </c>
      <c r="M410" s="22">
        <f t="shared" si="127"/>
      </c>
      <c r="N410" s="23">
        <f t="shared" si="133"/>
      </c>
      <c r="O410" s="29">
        <f t="shared" si="117"/>
      </c>
      <c r="P410" s="22">
        <f t="shared" si="128"/>
      </c>
      <c r="Q410" s="23">
        <f t="shared" si="129"/>
      </c>
      <c r="R410" s="24">
        <f t="shared" si="130"/>
        <v>0</v>
      </c>
      <c r="S410" s="211">
        <f t="shared" si="119"/>
      </c>
      <c r="T410" s="39"/>
      <c r="AB410" s="136">
        <f t="shared" si="121"/>
      </c>
      <c r="AC410" s="136">
        <f t="shared" si="122"/>
      </c>
      <c r="AD410" s="136">
        <f t="shared" si="123"/>
      </c>
    </row>
    <row r="411" spans="6:30" ht="16.5" customHeight="1">
      <c r="F411" s="210">
        <f t="shared" si="124"/>
        <v>406</v>
      </c>
      <c r="G411" s="28">
        <f t="shared" si="120"/>
      </c>
      <c r="H411" s="29">
        <f t="shared" si="118"/>
      </c>
      <c r="I411" s="22">
        <f t="shared" si="131"/>
      </c>
      <c r="J411" s="30">
        <f t="shared" si="125"/>
      </c>
      <c r="K411" s="23">
        <f t="shared" si="132"/>
      </c>
      <c r="L411" s="29">
        <f t="shared" si="126"/>
      </c>
      <c r="M411" s="22">
        <f t="shared" si="127"/>
      </c>
      <c r="N411" s="23">
        <f t="shared" si="133"/>
      </c>
      <c r="O411" s="29">
        <f t="shared" si="117"/>
      </c>
      <c r="P411" s="22">
        <f t="shared" si="128"/>
      </c>
      <c r="Q411" s="23">
        <f t="shared" si="129"/>
      </c>
      <c r="R411" s="24">
        <f t="shared" si="130"/>
        <v>0</v>
      </c>
      <c r="S411" s="211">
        <f t="shared" si="119"/>
      </c>
      <c r="T411" s="39"/>
      <c r="AB411" s="136">
        <f t="shared" si="121"/>
      </c>
      <c r="AC411" s="136">
        <f t="shared" si="122"/>
      </c>
      <c r="AD411" s="136">
        <f t="shared" si="123"/>
      </c>
    </row>
    <row r="412" spans="6:30" ht="16.5" customHeight="1">
      <c r="F412" s="210">
        <f t="shared" si="124"/>
        <v>407</v>
      </c>
      <c r="G412" s="28">
        <f t="shared" si="120"/>
      </c>
      <c r="H412" s="29">
        <f t="shared" si="118"/>
      </c>
      <c r="I412" s="22">
        <f t="shared" si="131"/>
      </c>
      <c r="J412" s="30">
        <f t="shared" si="125"/>
      </c>
      <c r="K412" s="23">
        <f t="shared" si="132"/>
      </c>
      <c r="L412" s="29">
        <f t="shared" si="126"/>
      </c>
      <c r="M412" s="22">
        <f t="shared" si="127"/>
      </c>
      <c r="N412" s="23">
        <f t="shared" si="133"/>
      </c>
      <c r="O412" s="29">
        <f t="shared" si="117"/>
      </c>
      <c r="P412" s="22">
        <f t="shared" si="128"/>
      </c>
      <c r="Q412" s="23">
        <f t="shared" si="129"/>
      </c>
      <c r="R412" s="24">
        <f t="shared" si="130"/>
        <v>0</v>
      </c>
      <c r="S412" s="211">
        <f t="shared" si="119"/>
      </c>
      <c r="T412" s="39"/>
      <c r="AB412" s="136">
        <f t="shared" si="121"/>
      </c>
      <c r="AC412" s="136">
        <f t="shared" si="122"/>
      </c>
      <c r="AD412" s="136">
        <f t="shared" si="123"/>
      </c>
    </row>
    <row r="413" spans="6:30" ht="16.5" customHeight="1">
      <c r="F413" s="210">
        <f t="shared" si="124"/>
        <v>408</v>
      </c>
      <c r="G413" s="28">
        <f t="shared" si="120"/>
      </c>
      <c r="H413" s="29">
        <f t="shared" si="118"/>
      </c>
      <c r="I413" s="22">
        <f t="shared" si="131"/>
      </c>
      <c r="J413" s="30">
        <f t="shared" si="125"/>
      </c>
      <c r="K413" s="23">
        <f t="shared" si="132"/>
      </c>
      <c r="L413" s="29">
        <f t="shared" si="126"/>
      </c>
      <c r="M413" s="22">
        <f t="shared" si="127"/>
      </c>
      <c r="N413" s="23">
        <f t="shared" si="133"/>
      </c>
      <c r="O413" s="29">
        <f t="shared" si="117"/>
      </c>
      <c r="P413" s="22">
        <f t="shared" si="128"/>
      </c>
      <c r="Q413" s="23">
        <f t="shared" si="129"/>
      </c>
      <c r="R413" s="24">
        <f t="shared" si="130"/>
        <v>0</v>
      </c>
      <c r="S413" s="211">
        <f t="shared" si="119"/>
      </c>
      <c r="T413" s="39"/>
      <c r="AB413" s="136">
        <f t="shared" si="121"/>
      </c>
      <c r="AC413" s="136">
        <f t="shared" si="122"/>
      </c>
      <c r="AD413" s="136">
        <f t="shared" si="123"/>
      </c>
    </row>
    <row r="414" spans="6:30" ht="16.5" customHeight="1">
      <c r="F414" s="210">
        <f t="shared" si="124"/>
        <v>409</v>
      </c>
      <c r="G414" s="28">
        <f t="shared" si="120"/>
      </c>
      <c r="H414" s="29">
        <f t="shared" si="118"/>
      </c>
      <c r="I414" s="22">
        <f t="shared" si="131"/>
      </c>
      <c r="J414" s="30">
        <f t="shared" si="125"/>
      </c>
      <c r="K414" s="23">
        <f t="shared" si="132"/>
      </c>
      <c r="L414" s="29">
        <f t="shared" si="126"/>
      </c>
      <c r="M414" s="22">
        <f t="shared" si="127"/>
      </c>
      <c r="N414" s="23">
        <f t="shared" si="133"/>
      </c>
      <c r="O414" s="29">
        <f t="shared" si="117"/>
      </c>
      <c r="P414" s="22">
        <f t="shared" si="128"/>
      </c>
      <c r="Q414" s="23">
        <f t="shared" si="129"/>
      </c>
      <c r="R414" s="24">
        <f t="shared" si="130"/>
        <v>0</v>
      </c>
      <c r="S414" s="211">
        <f t="shared" si="119"/>
      </c>
      <c r="T414" s="39"/>
      <c r="AB414" s="136">
        <f t="shared" si="121"/>
      </c>
      <c r="AC414" s="136">
        <f t="shared" si="122"/>
      </c>
      <c r="AD414" s="136">
        <f t="shared" si="123"/>
      </c>
    </row>
    <row r="415" spans="6:30" ht="16.5" customHeight="1">
      <c r="F415" s="210">
        <f t="shared" si="124"/>
        <v>410</v>
      </c>
      <c r="G415" s="28">
        <f t="shared" si="120"/>
      </c>
      <c r="H415" s="29">
        <f t="shared" si="118"/>
      </c>
      <c r="I415" s="22">
        <f t="shared" si="131"/>
      </c>
      <c r="J415" s="30">
        <f t="shared" si="125"/>
      </c>
      <c r="K415" s="23">
        <f t="shared" si="132"/>
      </c>
      <c r="L415" s="29">
        <f t="shared" si="126"/>
      </c>
      <c r="M415" s="22">
        <f t="shared" si="127"/>
      </c>
      <c r="N415" s="23">
        <f t="shared" si="133"/>
      </c>
      <c r="O415" s="29">
        <f t="shared" si="117"/>
      </c>
      <c r="P415" s="22">
        <f t="shared" si="128"/>
      </c>
      <c r="Q415" s="23">
        <f t="shared" si="129"/>
      </c>
      <c r="R415" s="24">
        <f t="shared" si="130"/>
        <v>0</v>
      </c>
      <c r="S415" s="211">
        <f t="shared" si="119"/>
      </c>
      <c r="T415" s="39"/>
      <c r="AB415" s="136">
        <f t="shared" si="121"/>
      </c>
      <c r="AC415" s="136">
        <f t="shared" si="122"/>
      </c>
      <c r="AD415" s="136">
        <f t="shared" si="123"/>
      </c>
    </row>
    <row r="416" spans="6:30" ht="16.5" customHeight="1">
      <c r="F416" s="210">
        <f t="shared" si="124"/>
        <v>411</v>
      </c>
      <c r="G416" s="28">
        <f t="shared" si="120"/>
      </c>
      <c r="H416" s="29">
        <f t="shared" si="118"/>
      </c>
      <c r="I416" s="22">
        <f t="shared" si="131"/>
      </c>
      <c r="J416" s="30">
        <f t="shared" si="125"/>
      </c>
      <c r="K416" s="23">
        <f t="shared" si="132"/>
      </c>
      <c r="L416" s="29">
        <f t="shared" si="126"/>
      </c>
      <c r="M416" s="22">
        <f t="shared" si="127"/>
      </c>
      <c r="N416" s="23">
        <f t="shared" si="133"/>
      </c>
      <c r="O416" s="29">
        <f t="shared" si="117"/>
      </c>
      <c r="P416" s="22">
        <f t="shared" si="128"/>
      </c>
      <c r="Q416" s="23">
        <f t="shared" si="129"/>
      </c>
      <c r="R416" s="24">
        <f t="shared" si="130"/>
        <v>0</v>
      </c>
      <c r="S416" s="211">
        <f t="shared" si="119"/>
      </c>
      <c r="T416" s="39"/>
      <c r="AB416" s="136">
        <f t="shared" si="121"/>
      </c>
      <c r="AC416" s="136">
        <f t="shared" si="122"/>
      </c>
      <c r="AD416" s="136">
        <f t="shared" si="123"/>
      </c>
    </row>
    <row r="417" spans="6:30" ht="16.5" customHeight="1">
      <c r="F417" s="210">
        <f t="shared" si="124"/>
        <v>412</v>
      </c>
      <c r="G417" s="28">
        <f t="shared" si="120"/>
      </c>
      <c r="H417" s="29">
        <f t="shared" si="118"/>
      </c>
      <c r="I417" s="22">
        <f t="shared" si="131"/>
      </c>
      <c r="J417" s="30">
        <f t="shared" si="125"/>
      </c>
      <c r="K417" s="23">
        <f t="shared" si="132"/>
      </c>
      <c r="L417" s="29">
        <f t="shared" si="126"/>
      </c>
      <c r="M417" s="22">
        <f t="shared" si="127"/>
      </c>
      <c r="N417" s="23">
        <f t="shared" si="133"/>
      </c>
      <c r="O417" s="29">
        <f t="shared" si="117"/>
      </c>
      <c r="P417" s="22">
        <f t="shared" si="128"/>
      </c>
      <c r="Q417" s="23">
        <f t="shared" si="129"/>
      </c>
      <c r="R417" s="24">
        <f t="shared" si="130"/>
        <v>0</v>
      </c>
      <c r="S417" s="211">
        <f t="shared" si="119"/>
      </c>
      <c r="T417" s="39"/>
      <c r="AB417" s="136">
        <f t="shared" si="121"/>
      </c>
      <c r="AC417" s="136">
        <f t="shared" si="122"/>
      </c>
      <c r="AD417" s="136">
        <f t="shared" si="123"/>
      </c>
    </row>
    <row r="418" spans="6:30" ht="16.5" customHeight="1">
      <c r="F418" s="210">
        <f t="shared" si="124"/>
        <v>413</v>
      </c>
      <c r="G418" s="28">
        <f t="shared" si="120"/>
      </c>
      <c r="H418" s="29">
        <f t="shared" si="118"/>
      </c>
      <c r="I418" s="22">
        <f t="shared" si="131"/>
      </c>
      <c r="J418" s="30">
        <f t="shared" si="125"/>
      </c>
      <c r="K418" s="23">
        <f t="shared" si="132"/>
      </c>
      <c r="L418" s="29">
        <f t="shared" si="126"/>
      </c>
      <c r="M418" s="22">
        <f t="shared" si="127"/>
      </c>
      <c r="N418" s="23">
        <f t="shared" si="133"/>
      </c>
      <c r="O418" s="29">
        <f t="shared" si="117"/>
      </c>
      <c r="P418" s="22">
        <f t="shared" si="128"/>
      </c>
      <c r="Q418" s="23">
        <f t="shared" si="129"/>
      </c>
      <c r="R418" s="24">
        <f t="shared" si="130"/>
        <v>0</v>
      </c>
      <c r="S418" s="211">
        <f t="shared" si="119"/>
      </c>
      <c r="T418" s="39"/>
      <c r="AB418" s="136">
        <f t="shared" si="121"/>
      </c>
      <c r="AC418" s="136">
        <f t="shared" si="122"/>
      </c>
      <c r="AD418" s="136">
        <f t="shared" si="123"/>
      </c>
    </row>
    <row r="419" spans="6:30" ht="16.5" customHeight="1">
      <c r="F419" s="210">
        <f t="shared" si="124"/>
        <v>414</v>
      </c>
      <c r="G419" s="28">
        <f t="shared" si="120"/>
      </c>
      <c r="H419" s="29">
        <f t="shared" si="118"/>
      </c>
      <c r="I419" s="22">
        <f t="shared" si="131"/>
      </c>
      <c r="J419" s="30">
        <f t="shared" si="125"/>
      </c>
      <c r="K419" s="23">
        <f t="shared" si="132"/>
      </c>
      <c r="L419" s="29">
        <f t="shared" si="126"/>
      </c>
      <c r="M419" s="22">
        <f t="shared" si="127"/>
      </c>
      <c r="N419" s="23">
        <f t="shared" si="133"/>
      </c>
      <c r="O419" s="29">
        <f t="shared" si="117"/>
      </c>
      <c r="P419" s="22">
        <f t="shared" si="128"/>
      </c>
      <c r="Q419" s="23">
        <f t="shared" si="129"/>
      </c>
      <c r="R419" s="24">
        <f t="shared" si="130"/>
        <v>0</v>
      </c>
      <c r="S419" s="211">
        <f t="shared" si="119"/>
      </c>
      <c r="T419" s="39"/>
      <c r="AB419" s="136">
        <f t="shared" si="121"/>
      </c>
      <c r="AC419" s="136">
        <f t="shared" si="122"/>
      </c>
      <c r="AD419" s="136">
        <f t="shared" si="123"/>
      </c>
    </row>
    <row r="420" spans="6:30" ht="16.5" customHeight="1">
      <c r="F420" s="210">
        <f t="shared" si="124"/>
        <v>415</v>
      </c>
      <c r="G420" s="28">
        <f t="shared" si="120"/>
      </c>
      <c r="H420" s="29">
        <f t="shared" si="118"/>
      </c>
      <c r="I420" s="22">
        <f t="shared" si="131"/>
      </c>
      <c r="J420" s="30">
        <f t="shared" si="125"/>
      </c>
      <c r="K420" s="23">
        <f t="shared" si="132"/>
      </c>
      <c r="L420" s="29">
        <f t="shared" si="126"/>
      </c>
      <c r="M420" s="22">
        <f t="shared" si="127"/>
      </c>
      <c r="N420" s="23">
        <f t="shared" si="133"/>
      </c>
      <c r="O420" s="29">
        <f t="shared" si="117"/>
      </c>
      <c r="P420" s="22">
        <f t="shared" si="128"/>
      </c>
      <c r="Q420" s="23">
        <f t="shared" si="129"/>
      </c>
      <c r="R420" s="24">
        <f t="shared" si="130"/>
        <v>0</v>
      </c>
      <c r="S420" s="211">
        <f t="shared" si="119"/>
      </c>
      <c r="T420" s="39"/>
      <c r="AB420" s="136">
        <f t="shared" si="121"/>
      </c>
      <c r="AC420" s="136">
        <f t="shared" si="122"/>
      </c>
      <c r="AD420" s="136">
        <f t="shared" si="123"/>
      </c>
    </row>
    <row r="421" spans="6:30" ht="16.5" customHeight="1">
      <c r="F421" s="210">
        <f t="shared" si="124"/>
        <v>416</v>
      </c>
      <c r="G421" s="28">
        <f t="shared" si="120"/>
      </c>
      <c r="H421" s="29">
        <f t="shared" si="118"/>
      </c>
      <c r="I421" s="22">
        <f t="shared" si="131"/>
      </c>
      <c r="J421" s="30">
        <f t="shared" si="125"/>
      </c>
      <c r="K421" s="23">
        <f t="shared" si="132"/>
      </c>
      <c r="L421" s="29">
        <f t="shared" si="126"/>
      </c>
      <c r="M421" s="22">
        <f t="shared" si="127"/>
      </c>
      <c r="N421" s="23">
        <f t="shared" si="133"/>
      </c>
      <c r="O421" s="29">
        <f t="shared" si="117"/>
      </c>
      <c r="P421" s="22">
        <f t="shared" si="128"/>
      </c>
      <c r="Q421" s="23">
        <f t="shared" si="129"/>
      </c>
      <c r="R421" s="24">
        <f t="shared" si="130"/>
        <v>0</v>
      </c>
      <c r="S421" s="211">
        <f t="shared" si="119"/>
      </c>
      <c r="T421" s="39"/>
      <c r="AB421" s="136">
        <f t="shared" si="121"/>
      </c>
      <c r="AC421" s="136">
        <f t="shared" si="122"/>
      </c>
      <c r="AD421" s="136">
        <f t="shared" si="123"/>
      </c>
    </row>
    <row r="422" spans="6:30" ht="16.5" customHeight="1">
      <c r="F422" s="210">
        <f t="shared" si="124"/>
        <v>417</v>
      </c>
      <c r="G422" s="28">
        <f t="shared" si="120"/>
      </c>
      <c r="H422" s="29">
        <f t="shared" si="118"/>
      </c>
      <c r="I422" s="22">
        <f t="shared" si="131"/>
      </c>
      <c r="J422" s="30">
        <f t="shared" si="125"/>
      </c>
      <c r="K422" s="23">
        <f t="shared" si="132"/>
      </c>
      <c r="L422" s="29">
        <f t="shared" si="126"/>
      </c>
      <c r="M422" s="22">
        <f t="shared" si="127"/>
      </c>
      <c r="N422" s="23">
        <f t="shared" si="133"/>
      </c>
      <c r="O422" s="29">
        <f aca="true" t="shared" si="134" ref="O422:O485">IF(O421="","",IF(DATE(YEAR(D$43),MONTH(D$43)+1,DAY(0))&lt;=DATE(YEAR(O421),MONTH(O421)+1,DAY(0)),"",IF($D$41="末",DATE(YEAR(O421),MONTH(O421)+2,DAY(0)),DATE(YEAR(O421),MONTH(O421)+1,DAY(O421)))))</f>
      </c>
      <c r="P422" s="22">
        <f t="shared" si="128"/>
      </c>
      <c r="Q422" s="23">
        <f t="shared" si="129"/>
      </c>
      <c r="R422" s="24">
        <f t="shared" si="130"/>
        <v>0</v>
      </c>
      <c r="S422" s="211">
        <f t="shared" si="119"/>
      </c>
      <c r="T422" s="39"/>
      <c r="AB422" s="136">
        <f t="shared" si="121"/>
      </c>
      <c r="AC422" s="136">
        <f t="shared" si="122"/>
      </c>
      <c r="AD422" s="136">
        <f t="shared" si="123"/>
      </c>
    </row>
    <row r="423" spans="6:30" ht="16.5" customHeight="1">
      <c r="F423" s="210">
        <f t="shared" si="124"/>
        <v>418</v>
      </c>
      <c r="G423" s="28">
        <f t="shared" si="120"/>
      </c>
      <c r="H423" s="29">
        <f t="shared" si="118"/>
      </c>
      <c r="I423" s="22">
        <f t="shared" si="131"/>
      </c>
      <c r="J423" s="30">
        <f t="shared" si="125"/>
      </c>
      <c r="K423" s="23">
        <f t="shared" si="132"/>
      </c>
      <c r="L423" s="29">
        <f t="shared" si="126"/>
      </c>
      <c r="M423" s="22">
        <f t="shared" si="127"/>
      </c>
      <c r="N423" s="23">
        <f t="shared" si="133"/>
      </c>
      <c r="O423" s="29">
        <f t="shared" si="134"/>
      </c>
      <c r="P423" s="22">
        <f t="shared" si="128"/>
      </c>
      <c r="Q423" s="23">
        <f t="shared" si="129"/>
      </c>
      <c r="R423" s="24">
        <f t="shared" si="130"/>
        <v>0</v>
      </c>
      <c r="S423" s="211">
        <f t="shared" si="119"/>
      </c>
      <c r="T423" s="39"/>
      <c r="AB423" s="136">
        <f t="shared" si="121"/>
      </c>
      <c r="AC423" s="136">
        <f t="shared" si="122"/>
      </c>
      <c r="AD423" s="136">
        <f t="shared" si="123"/>
      </c>
    </row>
    <row r="424" spans="6:30" ht="16.5" customHeight="1">
      <c r="F424" s="210">
        <f t="shared" si="124"/>
        <v>419</v>
      </c>
      <c r="G424" s="28">
        <f t="shared" si="120"/>
      </c>
      <c r="H424" s="29">
        <f t="shared" si="118"/>
      </c>
      <c r="I424" s="22">
        <f t="shared" si="131"/>
      </c>
      <c r="J424" s="30">
        <f t="shared" si="125"/>
      </c>
      <c r="K424" s="23">
        <f t="shared" si="132"/>
      </c>
      <c r="L424" s="29">
        <f t="shared" si="126"/>
      </c>
      <c r="M424" s="22">
        <f t="shared" si="127"/>
      </c>
      <c r="N424" s="23">
        <f t="shared" si="133"/>
      </c>
      <c r="O424" s="29">
        <f t="shared" si="134"/>
      </c>
      <c r="P424" s="22">
        <f t="shared" si="128"/>
      </c>
      <c r="Q424" s="23">
        <f t="shared" si="129"/>
      </c>
      <c r="R424" s="24">
        <f t="shared" si="130"/>
        <v>0</v>
      </c>
      <c r="S424" s="211">
        <f t="shared" si="119"/>
      </c>
      <c r="T424" s="39"/>
      <c r="AB424" s="136">
        <f t="shared" si="121"/>
      </c>
      <c r="AC424" s="136">
        <f t="shared" si="122"/>
      </c>
      <c r="AD424" s="136">
        <f t="shared" si="123"/>
      </c>
    </row>
    <row r="425" spans="6:30" ht="16.5" customHeight="1">
      <c r="F425" s="210">
        <f t="shared" si="124"/>
        <v>420</v>
      </c>
      <c r="G425" s="28">
        <f t="shared" si="120"/>
      </c>
      <c r="H425" s="29">
        <f t="shared" si="118"/>
      </c>
      <c r="I425" s="22">
        <f t="shared" si="131"/>
      </c>
      <c r="J425" s="30">
        <f t="shared" si="125"/>
      </c>
      <c r="K425" s="23">
        <f t="shared" si="132"/>
      </c>
      <c r="L425" s="29">
        <f t="shared" si="126"/>
      </c>
      <c r="M425" s="22">
        <f t="shared" si="127"/>
      </c>
      <c r="N425" s="23">
        <f t="shared" si="133"/>
      </c>
      <c r="O425" s="29">
        <f t="shared" si="134"/>
      </c>
      <c r="P425" s="22">
        <f t="shared" si="128"/>
      </c>
      <c r="Q425" s="23">
        <f t="shared" si="129"/>
      </c>
      <c r="R425" s="24">
        <f t="shared" si="130"/>
        <v>0</v>
      </c>
      <c r="S425" s="211">
        <f t="shared" si="119"/>
      </c>
      <c r="T425" s="39"/>
      <c r="AB425" s="136">
        <f t="shared" si="121"/>
      </c>
      <c r="AC425" s="136">
        <f t="shared" si="122"/>
      </c>
      <c r="AD425" s="136">
        <f t="shared" si="123"/>
      </c>
    </row>
    <row r="426" spans="6:30" ht="16.5" customHeight="1">
      <c r="F426" s="210">
        <f t="shared" si="124"/>
        <v>421</v>
      </c>
      <c r="G426" s="28">
        <f t="shared" si="120"/>
      </c>
      <c r="H426" s="29">
        <f t="shared" si="118"/>
      </c>
      <c r="I426" s="22">
        <f t="shared" si="131"/>
      </c>
      <c r="J426" s="30">
        <f t="shared" si="125"/>
      </c>
      <c r="K426" s="23">
        <f t="shared" si="132"/>
      </c>
      <c r="L426" s="29">
        <f t="shared" si="126"/>
      </c>
      <c r="M426" s="22">
        <f t="shared" si="127"/>
      </c>
      <c r="N426" s="23">
        <f t="shared" si="133"/>
      </c>
      <c r="O426" s="29">
        <f t="shared" si="134"/>
      </c>
      <c r="P426" s="22">
        <f t="shared" si="128"/>
      </c>
      <c r="Q426" s="23">
        <f t="shared" si="129"/>
      </c>
      <c r="R426" s="24">
        <f t="shared" si="130"/>
        <v>0</v>
      </c>
      <c r="S426" s="211">
        <f t="shared" si="119"/>
      </c>
      <c r="T426" s="39"/>
      <c r="AB426" s="136">
        <f t="shared" si="121"/>
      </c>
      <c r="AC426" s="136">
        <f t="shared" si="122"/>
      </c>
      <c r="AD426" s="136">
        <f t="shared" si="123"/>
      </c>
    </row>
    <row r="427" spans="6:30" ht="16.5" customHeight="1">
      <c r="F427" s="210">
        <f t="shared" si="124"/>
        <v>422</v>
      </c>
      <c r="G427" s="28">
        <f t="shared" si="120"/>
      </c>
      <c r="H427" s="29">
        <f t="shared" si="118"/>
      </c>
      <c r="I427" s="22">
        <f t="shared" si="131"/>
      </c>
      <c r="J427" s="30">
        <f t="shared" si="125"/>
      </c>
      <c r="K427" s="23">
        <f t="shared" si="132"/>
      </c>
      <c r="L427" s="29">
        <f t="shared" si="126"/>
      </c>
      <c r="M427" s="22">
        <f t="shared" si="127"/>
      </c>
      <c r="N427" s="23">
        <f t="shared" si="133"/>
      </c>
      <c r="O427" s="29">
        <f t="shared" si="134"/>
      </c>
      <c r="P427" s="22">
        <f t="shared" si="128"/>
      </c>
      <c r="Q427" s="23">
        <f t="shared" si="129"/>
      </c>
      <c r="R427" s="24">
        <f t="shared" si="130"/>
        <v>0</v>
      </c>
      <c r="S427" s="211">
        <f t="shared" si="119"/>
      </c>
      <c r="T427" s="39"/>
      <c r="AB427" s="136">
        <f t="shared" si="121"/>
      </c>
      <c r="AC427" s="136">
        <f t="shared" si="122"/>
      </c>
      <c r="AD427" s="136">
        <f t="shared" si="123"/>
      </c>
    </row>
    <row r="428" spans="6:30" ht="16.5" customHeight="1">
      <c r="F428" s="210">
        <f t="shared" si="124"/>
        <v>423</v>
      </c>
      <c r="G428" s="28">
        <f t="shared" si="120"/>
      </c>
      <c r="H428" s="29">
        <f t="shared" si="118"/>
      </c>
      <c r="I428" s="22">
        <f t="shared" si="131"/>
      </c>
      <c r="J428" s="30">
        <f t="shared" si="125"/>
      </c>
      <c r="K428" s="23">
        <f t="shared" si="132"/>
      </c>
      <c r="L428" s="29">
        <f t="shared" si="126"/>
      </c>
      <c r="M428" s="22">
        <f t="shared" si="127"/>
      </c>
      <c r="N428" s="23">
        <f t="shared" si="133"/>
      </c>
      <c r="O428" s="29">
        <f t="shared" si="134"/>
      </c>
      <c r="P428" s="22">
        <f t="shared" si="128"/>
      </c>
      <c r="Q428" s="23">
        <f t="shared" si="129"/>
      </c>
      <c r="R428" s="24">
        <f t="shared" si="130"/>
        <v>0</v>
      </c>
      <c r="S428" s="211">
        <f t="shared" si="119"/>
      </c>
      <c r="T428" s="39"/>
      <c r="AB428" s="136">
        <f t="shared" si="121"/>
      </c>
      <c r="AC428" s="136">
        <f t="shared" si="122"/>
      </c>
      <c r="AD428" s="136">
        <f t="shared" si="123"/>
      </c>
    </row>
    <row r="429" spans="6:30" ht="16.5" customHeight="1">
      <c r="F429" s="210">
        <f t="shared" si="124"/>
        <v>424</v>
      </c>
      <c r="G429" s="28">
        <f t="shared" si="120"/>
      </c>
      <c r="H429" s="29">
        <f t="shared" si="118"/>
      </c>
      <c r="I429" s="22">
        <f t="shared" si="131"/>
      </c>
      <c r="J429" s="30">
        <f t="shared" si="125"/>
      </c>
      <c r="K429" s="23">
        <f t="shared" si="132"/>
      </c>
      <c r="L429" s="29">
        <f t="shared" si="126"/>
      </c>
      <c r="M429" s="22">
        <f t="shared" si="127"/>
      </c>
      <c r="N429" s="23">
        <f t="shared" si="133"/>
      </c>
      <c r="O429" s="29">
        <f t="shared" si="134"/>
      </c>
      <c r="P429" s="22">
        <f t="shared" si="128"/>
      </c>
      <c r="Q429" s="23">
        <f t="shared" si="129"/>
      </c>
      <c r="R429" s="24">
        <f t="shared" si="130"/>
        <v>0</v>
      </c>
      <c r="S429" s="211">
        <f t="shared" si="119"/>
      </c>
      <c r="T429" s="39"/>
      <c r="AB429" s="136">
        <f t="shared" si="121"/>
      </c>
      <c r="AC429" s="136">
        <f t="shared" si="122"/>
      </c>
      <c r="AD429" s="136">
        <f t="shared" si="123"/>
      </c>
    </row>
    <row r="430" spans="6:30" ht="16.5" customHeight="1">
      <c r="F430" s="210">
        <f t="shared" si="124"/>
        <v>425</v>
      </c>
      <c r="G430" s="28">
        <f t="shared" si="120"/>
      </c>
      <c r="H430" s="29">
        <f t="shared" si="118"/>
      </c>
      <c r="I430" s="22">
        <f t="shared" si="131"/>
      </c>
      <c r="J430" s="30">
        <f t="shared" si="125"/>
      </c>
      <c r="K430" s="23">
        <f t="shared" si="132"/>
      </c>
      <c r="L430" s="29">
        <f t="shared" si="126"/>
      </c>
      <c r="M430" s="22">
        <f t="shared" si="127"/>
      </c>
      <c r="N430" s="23">
        <f t="shared" si="133"/>
      </c>
      <c r="O430" s="29">
        <f t="shared" si="134"/>
      </c>
      <c r="P430" s="22">
        <f t="shared" si="128"/>
      </c>
      <c r="Q430" s="23">
        <f t="shared" si="129"/>
      </c>
      <c r="R430" s="24">
        <f t="shared" si="130"/>
        <v>0</v>
      </c>
      <c r="S430" s="211">
        <f t="shared" si="119"/>
      </c>
      <c r="T430" s="39"/>
      <c r="AB430" s="136">
        <f t="shared" si="121"/>
      </c>
      <c r="AC430" s="136">
        <f t="shared" si="122"/>
      </c>
      <c r="AD430" s="136">
        <f t="shared" si="123"/>
      </c>
    </row>
    <row r="431" spans="6:30" ht="16.5" customHeight="1">
      <c r="F431" s="210">
        <f t="shared" si="124"/>
        <v>426</v>
      </c>
      <c r="G431" s="28">
        <f t="shared" si="120"/>
      </c>
      <c r="H431" s="29">
        <f t="shared" si="118"/>
      </c>
      <c r="I431" s="22">
        <f t="shared" si="131"/>
      </c>
      <c r="J431" s="30">
        <f t="shared" si="125"/>
      </c>
      <c r="K431" s="23">
        <f t="shared" si="132"/>
      </c>
      <c r="L431" s="29">
        <f t="shared" si="126"/>
      </c>
      <c r="M431" s="22">
        <f t="shared" si="127"/>
      </c>
      <c r="N431" s="23">
        <f t="shared" si="133"/>
      </c>
      <c r="O431" s="29">
        <f t="shared" si="134"/>
      </c>
      <c r="P431" s="22">
        <f t="shared" si="128"/>
      </c>
      <c r="Q431" s="23">
        <f t="shared" si="129"/>
      </c>
      <c r="R431" s="24">
        <f t="shared" si="130"/>
        <v>0</v>
      </c>
      <c r="S431" s="211">
        <f t="shared" si="119"/>
      </c>
      <c r="T431" s="39"/>
      <c r="AB431" s="136">
        <f t="shared" si="121"/>
      </c>
      <c r="AC431" s="136">
        <f t="shared" si="122"/>
      </c>
      <c r="AD431" s="136">
        <f t="shared" si="123"/>
      </c>
    </row>
    <row r="432" spans="6:30" ht="16.5" customHeight="1">
      <c r="F432" s="210">
        <f t="shared" si="124"/>
        <v>427</v>
      </c>
      <c r="G432" s="28">
        <f t="shared" si="120"/>
      </c>
      <c r="H432" s="29">
        <f t="shared" si="118"/>
      </c>
      <c r="I432" s="22">
        <f t="shared" si="131"/>
      </c>
      <c r="J432" s="30">
        <f t="shared" si="125"/>
      </c>
      <c r="K432" s="23">
        <f t="shared" si="132"/>
      </c>
      <c r="L432" s="29">
        <f t="shared" si="126"/>
      </c>
      <c r="M432" s="22">
        <f t="shared" si="127"/>
      </c>
      <c r="N432" s="23">
        <f t="shared" si="133"/>
      </c>
      <c r="O432" s="29">
        <f t="shared" si="134"/>
      </c>
      <c r="P432" s="22">
        <f t="shared" si="128"/>
      </c>
      <c r="Q432" s="23">
        <f t="shared" si="129"/>
      </c>
      <c r="R432" s="24">
        <f t="shared" si="130"/>
        <v>0</v>
      </c>
      <c r="S432" s="211">
        <f t="shared" si="119"/>
      </c>
      <c r="T432" s="39"/>
      <c r="AB432" s="136">
        <f t="shared" si="121"/>
      </c>
      <c r="AC432" s="136">
        <f t="shared" si="122"/>
      </c>
      <c r="AD432" s="136">
        <f t="shared" si="123"/>
      </c>
    </row>
    <row r="433" spans="6:30" ht="16.5" customHeight="1">
      <c r="F433" s="210">
        <f t="shared" si="124"/>
        <v>428</v>
      </c>
      <c r="G433" s="28">
        <f t="shared" si="120"/>
      </c>
      <c r="H433" s="29">
        <f t="shared" si="118"/>
      </c>
      <c r="I433" s="22">
        <f t="shared" si="131"/>
      </c>
      <c r="J433" s="30">
        <f t="shared" si="125"/>
      </c>
      <c r="K433" s="23">
        <f t="shared" si="132"/>
      </c>
      <c r="L433" s="29">
        <f t="shared" si="126"/>
      </c>
      <c r="M433" s="22">
        <f t="shared" si="127"/>
      </c>
      <c r="N433" s="23">
        <f t="shared" si="133"/>
      </c>
      <c r="O433" s="29">
        <f t="shared" si="134"/>
      </c>
      <c r="P433" s="22">
        <f t="shared" si="128"/>
      </c>
      <c r="Q433" s="23">
        <f t="shared" si="129"/>
      </c>
      <c r="R433" s="24">
        <f t="shared" si="130"/>
        <v>0</v>
      </c>
      <c r="S433" s="211">
        <f t="shared" si="119"/>
      </c>
      <c r="T433" s="39"/>
      <c r="AB433" s="136">
        <f t="shared" si="121"/>
      </c>
      <c r="AC433" s="136">
        <f t="shared" si="122"/>
      </c>
      <c r="AD433" s="136">
        <f t="shared" si="123"/>
      </c>
    </row>
    <row r="434" spans="6:30" ht="16.5" customHeight="1">
      <c r="F434" s="210">
        <f t="shared" si="124"/>
        <v>429</v>
      </c>
      <c r="G434" s="28">
        <f t="shared" si="120"/>
      </c>
      <c r="H434" s="29">
        <f t="shared" si="118"/>
      </c>
      <c r="I434" s="22">
        <f t="shared" si="131"/>
      </c>
      <c r="J434" s="30">
        <f t="shared" si="125"/>
      </c>
      <c r="K434" s="23">
        <f t="shared" si="132"/>
      </c>
      <c r="L434" s="29">
        <f t="shared" si="126"/>
      </c>
      <c r="M434" s="22">
        <f t="shared" si="127"/>
      </c>
      <c r="N434" s="23">
        <f t="shared" si="133"/>
      </c>
      <c r="O434" s="29">
        <f t="shared" si="134"/>
      </c>
      <c r="P434" s="22">
        <f t="shared" si="128"/>
      </c>
      <c r="Q434" s="23">
        <f t="shared" si="129"/>
      </c>
      <c r="R434" s="24">
        <f t="shared" si="130"/>
        <v>0</v>
      </c>
      <c r="S434" s="211">
        <f t="shared" si="119"/>
      </c>
      <c r="T434" s="39"/>
      <c r="AB434" s="136">
        <f t="shared" si="121"/>
      </c>
      <c r="AC434" s="136">
        <f t="shared" si="122"/>
      </c>
      <c r="AD434" s="136">
        <f t="shared" si="123"/>
      </c>
    </row>
    <row r="435" spans="6:30" ht="16.5" customHeight="1">
      <c r="F435" s="210">
        <f t="shared" si="124"/>
        <v>430</v>
      </c>
      <c r="G435" s="28">
        <f t="shared" si="120"/>
      </c>
      <c r="H435" s="29">
        <f t="shared" si="118"/>
      </c>
      <c r="I435" s="22">
        <f t="shared" si="131"/>
      </c>
      <c r="J435" s="30">
        <f t="shared" si="125"/>
      </c>
      <c r="K435" s="23">
        <f t="shared" si="132"/>
      </c>
      <c r="L435" s="29">
        <f t="shared" si="126"/>
      </c>
      <c r="M435" s="22">
        <f t="shared" si="127"/>
      </c>
      <c r="N435" s="23">
        <f t="shared" si="133"/>
      </c>
      <c r="O435" s="29">
        <f t="shared" si="134"/>
      </c>
      <c r="P435" s="22">
        <f t="shared" si="128"/>
      </c>
      <c r="Q435" s="23">
        <f t="shared" si="129"/>
      </c>
      <c r="R435" s="24">
        <f t="shared" si="130"/>
        <v>0</v>
      </c>
      <c r="S435" s="211">
        <f t="shared" si="119"/>
      </c>
      <c r="T435" s="39"/>
      <c r="AB435" s="136">
        <f t="shared" si="121"/>
      </c>
      <c r="AC435" s="136">
        <f t="shared" si="122"/>
      </c>
      <c r="AD435" s="136">
        <f t="shared" si="123"/>
      </c>
    </row>
    <row r="436" spans="6:30" ht="16.5" customHeight="1">
      <c r="F436" s="210">
        <f t="shared" si="124"/>
        <v>431</v>
      </c>
      <c r="G436" s="28">
        <f t="shared" si="120"/>
      </c>
      <c r="H436" s="29">
        <f t="shared" si="118"/>
      </c>
      <c r="I436" s="22">
        <f t="shared" si="131"/>
      </c>
      <c r="J436" s="30">
        <f t="shared" si="125"/>
      </c>
      <c r="K436" s="23">
        <f t="shared" si="132"/>
      </c>
      <c r="L436" s="29">
        <f t="shared" si="126"/>
      </c>
      <c r="M436" s="22">
        <f t="shared" si="127"/>
      </c>
      <c r="N436" s="23">
        <f t="shared" si="133"/>
      </c>
      <c r="O436" s="29">
        <f t="shared" si="134"/>
      </c>
      <c r="P436" s="22">
        <f t="shared" si="128"/>
      </c>
      <c r="Q436" s="23">
        <f t="shared" si="129"/>
      </c>
      <c r="R436" s="24">
        <f t="shared" si="130"/>
        <v>0</v>
      </c>
      <c r="S436" s="211">
        <f t="shared" si="119"/>
      </c>
      <c r="T436" s="39"/>
      <c r="AB436" s="136">
        <f t="shared" si="121"/>
      </c>
      <c r="AC436" s="136">
        <f t="shared" si="122"/>
      </c>
      <c r="AD436" s="136">
        <f t="shared" si="123"/>
      </c>
    </row>
    <row r="437" spans="6:30" ht="16.5" customHeight="1">
      <c r="F437" s="210">
        <f t="shared" si="124"/>
        <v>432</v>
      </c>
      <c r="G437" s="28">
        <f t="shared" si="120"/>
      </c>
      <c r="H437" s="29">
        <f t="shared" si="118"/>
      </c>
      <c r="I437" s="22">
        <f t="shared" si="131"/>
      </c>
      <c r="J437" s="30">
        <f t="shared" si="125"/>
      </c>
      <c r="K437" s="23">
        <f t="shared" si="132"/>
      </c>
      <c r="L437" s="29">
        <f t="shared" si="126"/>
      </c>
      <c r="M437" s="22">
        <f t="shared" si="127"/>
      </c>
      <c r="N437" s="23">
        <f t="shared" si="133"/>
      </c>
      <c r="O437" s="29">
        <f t="shared" si="134"/>
      </c>
      <c r="P437" s="22">
        <f t="shared" si="128"/>
      </c>
      <c r="Q437" s="23">
        <f t="shared" si="129"/>
      </c>
      <c r="R437" s="24">
        <f t="shared" si="130"/>
        <v>0</v>
      </c>
      <c r="S437" s="211">
        <f t="shared" si="119"/>
      </c>
      <c r="T437" s="39"/>
      <c r="AB437" s="136">
        <f t="shared" si="121"/>
      </c>
      <c r="AC437" s="136">
        <f t="shared" si="122"/>
      </c>
      <c r="AD437" s="136">
        <f t="shared" si="123"/>
      </c>
    </row>
    <row r="438" spans="6:30" ht="16.5" customHeight="1">
      <c r="F438" s="210">
        <f t="shared" si="124"/>
        <v>433</v>
      </c>
      <c r="G438" s="28">
        <f t="shared" si="120"/>
      </c>
      <c r="H438" s="29">
        <f t="shared" si="118"/>
      </c>
      <c r="I438" s="22">
        <f t="shared" si="131"/>
      </c>
      <c r="J438" s="30">
        <f t="shared" si="125"/>
      </c>
      <c r="K438" s="23">
        <f t="shared" si="132"/>
      </c>
      <c r="L438" s="29">
        <f t="shared" si="126"/>
      </c>
      <c r="M438" s="22">
        <f t="shared" si="127"/>
      </c>
      <c r="N438" s="23">
        <f t="shared" si="133"/>
      </c>
      <c r="O438" s="29">
        <f t="shared" si="134"/>
      </c>
      <c r="P438" s="22">
        <f t="shared" si="128"/>
      </c>
      <c r="Q438" s="23">
        <f t="shared" si="129"/>
      </c>
      <c r="R438" s="24">
        <f t="shared" si="130"/>
        <v>0</v>
      </c>
      <c r="S438" s="211">
        <f t="shared" si="119"/>
      </c>
      <c r="T438" s="39"/>
      <c r="AB438" s="136">
        <f t="shared" si="121"/>
      </c>
      <c r="AC438" s="136">
        <f t="shared" si="122"/>
      </c>
      <c r="AD438" s="136">
        <f t="shared" si="123"/>
      </c>
    </row>
    <row r="439" spans="6:30" ht="16.5" customHeight="1">
      <c r="F439" s="210">
        <f t="shared" si="124"/>
        <v>434</v>
      </c>
      <c r="G439" s="28">
        <f t="shared" si="120"/>
      </c>
      <c r="H439" s="29">
        <f aca="true" t="shared" si="135" ref="H439:H502">IF(H438="","",IF(G439&gt;DATE(YEAR(D$11),MONTH(D$11)+1,0),"",IF(DAY(G439)&lt;&gt;D$9,DATE(YEAR(G439),MONTH(G439)+1,0),G439)))</f>
      </c>
      <c r="I439" s="22">
        <f t="shared" si="131"/>
      </c>
      <c r="J439" s="30">
        <f t="shared" si="125"/>
      </c>
      <c r="K439" s="23">
        <f t="shared" si="132"/>
      </c>
      <c r="L439" s="29">
        <f t="shared" si="126"/>
      </c>
      <c r="M439" s="22">
        <f t="shared" si="127"/>
      </c>
      <c r="N439" s="23">
        <f t="shared" si="133"/>
      </c>
      <c r="O439" s="29">
        <f t="shared" si="134"/>
      </c>
      <c r="P439" s="22">
        <f t="shared" si="128"/>
      </c>
      <c r="Q439" s="23">
        <f t="shared" si="129"/>
      </c>
      <c r="R439" s="24">
        <f t="shared" si="130"/>
        <v>0</v>
      </c>
      <c r="S439" s="211">
        <f t="shared" si="119"/>
      </c>
      <c r="T439" s="39"/>
      <c r="AB439" s="136">
        <f t="shared" si="121"/>
      </c>
      <c r="AC439" s="136">
        <f t="shared" si="122"/>
      </c>
      <c r="AD439" s="136">
        <f t="shared" si="123"/>
      </c>
    </row>
    <row r="440" spans="6:30" ht="16.5" customHeight="1">
      <c r="F440" s="210">
        <f t="shared" si="124"/>
        <v>435</v>
      </c>
      <c r="G440" s="28">
        <f t="shared" si="120"/>
      </c>
      <c r="H440" s="29">
        <f t="shared" si="135"/>
      </c>
      <c r="I440" s="22">
        <f t="shared" si="131"/>
      </c>
      <c r="J440" s="30">
        <f t="shared" si="125"/>
      </c>
      <c r="K440" s="23">
        <f t="shared" si="132"/>
      </c>
      <c r="L440" s="29">
        <f t="shared" si="126"/>
      </c>
      <c r="M440" s="22">
        <f t="shared" si="127"/>
      </c>
      <c r="N440" s="23">
        <f t="shared" si="133"/>
      </c>
      <c r="O440" s="29">
        <f t="shared" si="134"/>
      </c>
      <c r="P440" s="22">
        <f t="shared" si="128"/>
      </c>
      <c r="Q440" s="23">
        <f t="shared" si="129"/>
      </c>
      <c r="R440" s="24">
        <f t="shared" si="130"/>
        <v>0</v>
      </c>
      <c r="S440" s="211">
        <f t="shared" si="119"/>
      </c>
      <c r="T440" s="39"/>
      <c r="AB440" s="136">
        <f t="shared" si="121"/>
      </c>
      <c r="AC440" s="136">
        <f t="shared" si="122"/>
      </c>
      <c r="AD440" s="136">
        <f t="shared" si="123"/>
      </c>
    </row>
    <row r="441" spans="6:30" ht="16.5" customHeight="1">
      <c r="F441" s="210">
        <f t="shared" si="124"/>
        <v>436</v>
      </c>
      <c r="G441" s="28">
        <f t="shared" si="120"/>
      </c>
      <c r="H441" s="29">
        <f t="shared" si="135"/>
      </c>
      <c r="I441" s="22">
        <f t="shared" si="131"/>
      </c>
      <c r="J441" s="30">
        <f t="shared" si="125"/>
      </c>
      <c r="K441" s="23">
        <f t="shared" si="132"/>
      </c>
      <c r="L441" s="29">
        <f t="shared" si="126"/>
      </c>
      <c r="M441" s="22">
        <f t="shared" si="127"/>
      </c>
      <c r="N441" s="23">
        <f t="shared" si="133"/>
      </c>
      <c r="O441" s="29">
        <f t="shared" si="134"/>
      </c>
      <c r="P441" s="22">
        <f t="shared" si="128"/>
      </c>
      <c r="Q441" s="23">
        <f t="shared" si="129"/>
      </c>
      <c r="R441" s="24">
        <f t="shared" si="130"/>
        <v>0</v>
      </c>
      <c r="S441" s="211">
        <f t="shared" si="119"/>
      </c>
      <c r="T441" s="39"/>
      <c r="AB441" s="136">
        <f t="shared" si="121"/>
      </c>
      <c r="AC441" s="136">
        <f t="shared" si="122"/>
      </c>
      <c r="AD441" s="136">
        <f t="shared" si="123"/>
      </c>
    </row>
    <row r="442" spans="6:30" ht="16.5" customHeight="1">
      <c r="F442" s="210">
        <f t="shared" si="124"/>
        <v>437</v>
      </c>
      <c r="G442" s="28">
        <f t="shared" si="120"/>
      </c>
      <c r="H442" s="29">
        <f t="shared" si="135"/>
      </c>
      <c r="I442" s="22">
        <f t="shared" si="131"/>
      </c>
      <c r="J442" s="30">
        <f t="shared" si="125"/>
      </c>
      <c r="K442" s="23">
        <f t="shared" si="132"/>
      </c>
      <c r="L442" s="29">
        <f t="shared" si="126"/>
      </c>
      <c r="M442" s="22">
        <f t="shared" si="127"/>
      </c>
      <c r="N442" s="23">
        <f t="shared" si="133"/>
      </c>
      <c r="O442" s="29">
        <f t="shared" si="134"/>
      </c>
      <c r="P442" s="22">
        <f t="shared" si="128"/>
      </c>
      <c r="Q442" s="23">
        <f t="shared" si="129"/>
      </c>
      <c r="R442" s="24">
        <f t="shared" si="130"/>
        <v>0</v>
      </c>
      <c r="S442" s="211">
        <f t="shared" si="119"/>
      </c>
      <c r="T442" s="39"/>
      <c r="AB442" s="136">
        <f t="shared" si="121"/>
      </c>
      <c r="AC442" s="136">
        <f t="shared" si="122"/>
      </c>
      <c r="AD442" s="136">
        <f t="shared" si="123"/>
      </c>
    </row>
    <row r="443" spans="6:30" ht="16.5" customHeight="1">
      <c r="F443" s="210">
        <f t="shared" si="124"/>
        <v>438</v>
      </c>
      <c r="G443" s="28">
        <f t="shared" si="120"/>
      </c>
      <c r="H443" s="29">
        <f t="shared" si="135"/>
      </c>
      <c r="I443" s="22">
        <f t="shared" si="131"/>
      </c>
      <c r="J443" s="30">
        <f t="shared" si="125"/>
      </c>
      <c r="K443" s="23">
        <f t="shared" si="132"/>
      </c>
      <c r="L443" s="29">
        <f t="shared" si="126"/>
      </c>
      <c r="M443" s="22">
        <f t="shared" si="127"/>
      </c>
      <c r="N443" s="23">
        <f t="shared" si="133"/>
      </c>
      <c r="O443" s="29">
        <f t="shared" si="134"/>
      </c>
      <c r="P443" s="22">
        <f t="shared" si="128"/>
      </c>
      <c r="Q443" s="23">
        <f t="shared" si="129"/>
      </c>
      <c r="R443" s="24">
        <f t="shared" si="130"/>
        <v>0</v>
      </c>
      <c r="S443" s="211">
        <f t="shared" si="119"/>
      </c>
      <c r="T443" s="39"/>
      <c r="AB443" s="136">
        <f t="shared" si="121"/>
      </c>
      <c r="AC443" s="136">
        <f t="shared" si="122"/>
      </c>
      <c r="AD443" s="136">
        <f t="shared" si="123"/>
      </c>
    </row>
    <row r="444" spans="6:30" ht="16.5" customHeight="1">
      <c r="F444" s="210">
        <f t="shared" si="124"/>
        <v>439</v>
      </c>
      <c r="G444" s="28">
        <f t="shared" si="120"/>
      </c>
      <c r="H444" s="29">
        <f t="shared" si="135"/>
      </c>
      <c r="I444" s="22">
        <f t="shared" si="131"/>
      </c>
      <c r="J444" s="30">
        <f t="shared" si="125"/>
      </c>
      <c r="K444" s="23">
        <f t="shared" si="132"/>
      </c>
      <c r="L444" s="29">
        <f t="shared" si="126"/>
      </c>
      <c r="M444" s="22">
        <f t="shared" si="127"/>
      </c>
      <c r="N444" s="23">
        <f t="shared" si="133"/>
      </c>
      <c r="O444" s="29">
        <f t="shared" si="134"/>
      </c>
      <c r="P444" s="22">
        <f t="shared" si="128"/>
      </c>
      <c r="Q444" s="23">
        <f t="shared" si="129"/>
      </c>
      <c r="R444" s="24">
        <f t="shared" si="130"/>
        <v>0</v>
      </c>
      <c r="S444" s="211">
        <f t="shared" si="119"/>
      </c>
      <c r="T444" s="39"/>
      <c r="AB444" s="136">
        <f t="shared" si="121"/>
      </c>
      <c r="AC444" s="136">
        <f t="shared" si="122"/>
      </c>
      <c r="AD444" s="136">
        <f t="shared" si="123"/>
      </c>
    </row>
    <row r="445" spans="6:30" ht="16.5" customHeight="1">
      <c r="F445" s="210">
        <f t="shared" si="124"/>
        <v>440</v>
      </c>
      <c r="G445" s="28">
        <f t="shared" si="120"/>
      </c>
      <c r="H445" s="29">
        <f t="shared" si="135"/>
      </c>
      <c r="I445" s="22">
        <f t="shared" si="131"/>
      </c>
      <c r="J445" s="30">
        <f t="shared" si="125"/>
      </c>
      <c r="K445" s="23">
        <f t="shared" si="132"/>
      </c>
      <c r="L445" s="29">
        <f t="shared" si="126"/>
      </c>
      <c r="M445" s="22">
        <f t="shared" si="127"/>
      </c>
      <c r="N445" s="23">
        <f t="shared" si="133"/>
      </c>
      <c r="O445" s="29">
        <f t="shared" si="134"/>
      </c>
      <c r="P445" s="22">
        <f t="shared" si="128"/>
      </c>
      <c r="Q445" s="23">
        <f t="shared" si="129"/>
      </c>
      <c r="R445" s="24">
        <f t="shared" si="130"/>
        <v>0</v>
      </c>
      <c r="S445" s="211">
        <f t="shared" si="119"/>
      </c>
      <c r="T445" s="39"/>
      <c r="AB445" s="136">
        <f t="shared" si="121"/>
      </c>
      <c r="AC445" s="136">
        <f t="shared" si="122"/>
      </c>
      <c r="AD445" s="136">
        <f t="shared" si="123"/>
      </c>
    </row>
    <row r="446" spans="6:30" ht="16.5" customHeight="1">
      <c r="F446" s="210">
        <f t="shared" si="124"/>
        <v>441</v>
      </c>
      <c r="G446" s="28">
        <f t="shared" si="120"/>
      </c>
      <c r="H446" s="29">
        <f t="shared" si="135"/>
      </c>
      <c r="I446" s="22">
        <f t="shared" si="131"/>
      </c>
      <c r="J446" s="30">
        <f t="shared" si="125"/>
      </c>
      <c r="K446" s="23">
        <f t="shared" si="132"/>
      </c>
      <c r="L446" s="29">
        <f t="shared" si="126"/>
      </c>
      <c r="M446" s="22">
        <f t="shared" si="127"/>
      </c>
      <c r="N446" s="23">
        <f t="shared" si="133"/>
      </c>
      <c r="O446" s="29">
        <f t="shared" si="134"/>
      </c>
      <c r="P446" s="22">
        <f t="shared" si="128"/>
      </c>
      <c r="Q446" s="23">
        <f t="shared" si="129"/>
      </c>
      <c r="R446" s="24">
        <f t="shared" si="130"/>
        <v>0</v>
      </c>
      <c r="S446" s="211">
        <f t="shared" si="119"/>
      </c>
      <c r="T446" s="39"/>
      <c r="AB446" s="136">
        <f t="shared" si="121"/>
      </c>
      <c r="AC446" s="136">
        <f t="shared" si="122"/>
      </c>
      <c r="AD446" s="136">
        <f t="shared" si="123"/>
      </c>
    </row>
    <row r="447" spans="6:30" ht="16.5" customHeight="1">
      <c r="F447" s="210">
        <f t="shared" si="124"/>
        <v>442</v>
      </c>
      <c r="G447" s="28">
        <f t="shared" si="120"/>
      </c>
      <c r="H447" s="29">
        <f t="shared" si="135"/>
      </c>
      <c r="I447" s="22">
        <f t="shared" si="131"/>
      </c>
      <c r="J447" s="30">
        <f t="shared" si="125"/>
      </c>
      <c r="K447" s="23">
        <f t="shared" si="132"/>
      </c>
      <c r="L447" s="29">
        <f t="shared" si="126"/>
      </c>
      <c r="M447" s="22">
        <f t="shared" si="127"/>
      </c>
      <c r="N447" s="23">
        <f t="shared" si="133"/>
      </c>
      <c r="O447" s="29">
        <f t="shared" si="134"/>
      </c>
      <c r="P447" s="22">
        <f t="shared" si="128"/>
      </c>
      <c r="Q447" s="23">
        <f t="shared" si="129"/>
      </c>
      <c r="R447" s="24">
        <f t="shared" si="130"/>
        <v>0</v>
      </c>
      <c r="S447" s="211">
        <f t="shared" si="119"/>
      </c>
      <c r="T447" s="39"/>
      <c r="AB447" s="136">
        <f t="shared" si="121"/>
      </c>
      <c r="AC447" s="136">
        <f t="shared" si="122"/>
      </c>
      <c r="AD447" s="136">
        <f t="shared" si="123"/>
      </c>
    </row>
    <row r="448" spans="6:30" ht="16.5" customHeight="1">
      <c r="F448" s="210">
        <f t="shared" si="124"/>
        <v>443</v>
      </c>
      <c r="G448" s="28">
        <f t="shared" si="120"/>
      </c>
      <c r="H448" s="29">
        <f t="shared" si="135"/>
      </c>
      <c r="I448" s="22">
        <f t="shared" si="131"/>
      </c>
      <c r="J448" s="30">
        <f t="shared" si="125"/>
      </c>
      <c r="K448" s="23">
        <f t="shared" si="132"/>
      </c>
      <c r="L448" s="29">
        <f t="shared" si="126"/>
      </c>
      <c r="M448" s="22">
        <f t="shared" si="127"/>
      </c>
      <c r="N448" s="23">
        <f t="shared" si="133"/>
      </c>
      <c r="O448" s="29">
        <f t="shared" si="134"/>
      </c>
      <c r="P448" s="22">
        <f t="shared" si="128"/>
      </c>
      <c r="Q448" s="23">
        <f t="shared" si="129"/>
      </c>
      <c r="R448" s="24">
        <f t="shared" si="130"/>
        <v>0</v>
      </c>
      <c r="S448" s="211">
        <f t="shared" si="119"/>
      </c>
      <c r="T448" s="39"/>
      <c r="AB448" s="136">
        <f t="shared" si="121"/>
      </c>
      <c r="AC448" s="136">
        <f t="shared" si="122"/>
      </c>
      <c r="AD448" s="136">
        <f t="shared" si="123"/>
      </c>
    </row>
    <row r="449" spans="6:30" ht="16.5" customHeight="1">
      <c r="F449" s="210">
        <f t="shared" si="124"/>
        <v>444</v>
      </c>
      <c r="G449" s="28">
        <f t="shared" si="120"/>
      </c>
      <c r="H449" s="29">
        <f t="shared" si="135"/>
      </c>
      <c r="I449" s="22">
        <f t="shared" si="131"/>
      </c>
      <c r="J449" s="30">
        <f t="shared" si="125"/>
      </c>
      <c r="K449" s="23">
        <f t="shared" si="132"/>
      </c>
      <c r="L449" s="29">
        <f t="shared" si="126"/>
      </c>
      <c r="M449" s="22">
        <f t="shared" si="127"/>
      </c>
      <c r="N449" s="23">
        <f t="shared" si="133"/>
      </c>
      <c r="O449" s="29">
        <f t="shared" si="134"/>
      </c>
      <c r="P449" s="22">
        <f t="shared" si="128"/>
      </c>
      <c r="Q449" s="23">
        <f t="shared" si="129"/>
      </c>
      <c r="R449" s="24">
        <f t="shared" si="130"/>
        <v>0</v>
      </c>
      <c r="S449" s="211">
        <f t="shared" si="119"/>
      </c>
      <c r="T449" s="39"/>
      <c r="AB449" s="136">
        <f t="shared" si="121"/>
      </c>
      <c r="AC449" s="136">
        <f t="shared" si="122"/>
      </c>
      <c r="AD449" s="136">
        <f t="shared" si="123"/>
      </c>
    </row>
    <row r="450" spans="6:30" ht="16.5" customHeight="1">
      <c r="F450" s="210">
        <f t="shared" si="124"/>
        <v>445</v>
      </c>
      <c r="G450" s="28">
        <f t="shared" si="120"/>
      </c>
      <c r="H450" s="29">
        <f t="shared" si="135"/>
      </c>
      <c r="I450" s="22">
        <f t="shared" si="131"/>
      </c>
      <c r="J450" s="30">
        <f t="shared" si="125"/>
      </c>
      <c r="K450" s="23">
        <f t="shared" si="132"/>
      </c>
      <c r="L450" s="29">
        <f t="shared" si="126"/>
      </c>
      <c r="M450" s="22">
        <f t="shared" si="127"/>
      </c>
      <c r="N450" s="23">
        <f t="shared" si="133"/>
      </c>
      <c r="O450" s="29">
        <f t="shared" si="134"/>
      </c>
      <c r="P450" s="22">
        <f t="shared" si="128"/>
      </c>
      <c r="Q450" s="23">
        <f t="shared" si="129"/>
      </c>
      <c r="R450" s="24">
        <f t="shared" si="130"/>
        <v>0</v>
      </c>
      <c r="S450" s="211">
        <f t="shared" si="119"/>
      </c>
      <c r="T450" s="39"/>
      <c r="AB450" s="136">
        <f t="shared" si="121"/>
      </c>
      <c r="AC450" s="136">
        <f t="shared" si="122"/>
      </c>
      <c r="AD450" s="136">
        <f t="shared" si="123"/>
      </c>
    </row>
    <row r="451" spans="6:30" ht="16.5" customHeight="1">
      <c r="F451" s="210">
        <f t="shared" si="124"/>
        <v>446</v>
      </c>
      <c r="G451" s="28">
        <f t="shared" si="120"/>
      </c>
      <c r="H451" s="29">
        <f t="shared" si="135"/>
      </c>
      <c r="I451" s="22">
        <f t="shared" si="131"/>
      </c>
      <c r="J451" s="30">
        <f t="shared" si="125"/>
      </c>
      <c r="K451" s="23">
        <f t="shared" si="132"/>
      </c>
      <c r="L451" s="29">
        <f t="shared" si="126"/>
      </c>
      <c r="M451" s="22">
        <f t="shared" si="127"/>
      </c>
      <c r="N451" s="23">
        <f t="shared" si="133"/>
      </c>
      <c r="O451" s="29">
        <f t="shared" si="134"/>
      </c>
      <c r="P451" s="22">
        <f t="shared" si="128"/>
      </c>
      <c r="Q451" s="23">
        <f t="shared" si="129"/>
      </c>
      <c r="R451" s="24">
        <f t="shared" si="130"/>
        <v>0</v>
      </c>
      <c r="S451" s="211">
        <f t="shared" si="119"/>
      </c>
      <c r="T451" s="39"/>
      <c r="AB451" s="136">
        <f t="shared" si="121"/>
      </c>
      <c r="AC451" s="136">
        <f t="shared" si="122"/>
      </c>
      <c r="AD451" s="136">
        <f t="shared" si="123"/>
      </c>
    </row>
    <row r="452" spans="6:30" ht="16.5" customHeight="1">
      <c r="F452" s="210">
        <f t="shared" si="124"/>
        <v>447</v>
      </c>
      <c r="G452" s="28">
        <f t="shared" si="120"/>
      </c>
      <c r="H452" s="29">
        <f t="shared" si="135"/>
      </c>
      <c r="I452" s="22">
        <f t="shared" si="131"/>
      </c>
      <c r="J452" s="30">
        <f t="shared" si="125"/>
      </c>
      <c r="K452" s="23">
        <f t="shared" si="132"/>
      </c>
      <c r="L452" s="29">
        <f t="shared" si="126"/>
      </c>
      <c r="M452" s="22">
        <f t="shared" si="127"/>
      </c>
      <c r="N452" s="23">
        <f t="shared" si="133"/>
      </c>
      <c r="O452" s="29">
        <f t="shared" si="134"/>
      </c>
      <c r="P452" s="22">
        <f t="shared" si="128"/>
      </c>
      <c r="Q452" s="23">
        <f t="shared" si="129"/>
      </c>
      <c r="R452" s="24">
        <f t="shared" si="130"/>
        <v>0</v>
      </c>
      <c r="S452" s="211">
        <f t="shared" si="119"/>
      </c>
      <c r="T452" s="39"/>
      <c r="AB452" s="136">
        <f t="shared" si="121"/>
      </c>
      <c r="AC452" s="136">
        <f t="shared" si="122"/>
      </c>
      <c r="AD452" s="136">
        <f t="shared" si="123"/>
      </c>
    </row>
    <row r="453" spans="6:30" ht="16.5" customHeight="1">
      <c r="F453" s="210">
        <f t="shared" si="124"/>
        <v>448</v>
      </c>
      <c r="G453" s="28">
        <f t="shared" si="120"/>
      </c>
      <c r="H453" s="29">
        <f t="shared" si="135"/>
      </c>
      <c r="I453" s="22">
        <f t="shared" si="131"/>
      </c>
      <c r="J453" s="30">
        <f t="shared" si="125"/>
      </c>
      <c r="K453" s="23">
        <f t="shared" si="132"/>
      </c>
      <c r="L453" s="29">
        <f t="shared" si="126"/>
      </c>
      <c r="M453" s="22">
        <f t="shared" si="127"/>
      </c>
      <c r="N453" s="23">
        <f t="shared" si="133"/>
      </c>
      <c r="O453" s="29">
        <f t="shared" si="134"/>
      </c>
      <c r="P453" s="22">
        <f t="shared" si="128"/>
      </c>
      <c r="Q453" s="23">
        <f t="shared" si="129"/>
      </c>
      <c r="R453" s="24">
        <f t="shared" si="130"/>
        <v>0</v>
      </c>
      <c r="S453" s="211">
        <f t="shared" si="119"/>
      </c>
      <c r="T453" s="39"/>
      <c r="AB453" s="136">
        <f t="shared" si="121"/>
      </c>
      <c r="AC453" s="136">
        <f t="shared" si="122"/>
      </c>
      <c r="AD453" s="136">
        <f t="shared" si="123"/>
      </c>
    </row>
    <row r="454" spans="6:30" ht="16.5" customHeight="1">
      <c r="F454" s="210">
        <f t="shared" si="124"/>
        <v>449</v>
      </c>
      <c r="G454" s="28">
        <f t="shared" si="120"/>
      </c>
      <c r="H454" s="29">
        <f t="shared" si="135"/>
      </c>
      <c r="I454" s="22">
        <f t="shared" si="131"/>
      </c>
      <c r="J454" s="30">
        <f t="shared" si="125"/>
      </c>
      <c r="K454" s="23">
        <f t="shared" si="132"/>
      </c>
      <c r="L454" s="29">
        <f t="shared" si="126"/>
      </c>
      <c r="M454" s="22">
        <f t="shared" si="127"/>
      </c>
      <c r="N454" s="23">
        <f t="shared" si="133"/>
      </c>
      <c r="O454" s="29">
        <f t="shared" si="134"/>
      </c>
      <c r="P454" s="22">
        <f t="shared" si="128"/>
      </c>
      <c r="Q454" s="23">
        <f t="shared" si="129"/>
      </c>
      <c r="R454" s="24">
        <f t="shared" si="130"/>
        <v>0</v>
      </c>
      <c r="S454" s="211">
        <f aca="true" t="shared" si="136" ref="S454:S505">IF(AND(H454="",L454=""),"",IF(ISERROR(YEAR(H454)),YEAR(L454),YEAR(H454)))</f>
      </c>
      <c r="T454" s="39"/>
      <c r="AB454" s="136">
        <f t="shared" si="121"/>
      </c>
      <c r="AC454" s="136">
        <f t="shared" si="122"/>
      </c>
      <c r="AD454" s="136">
        <f t="shared" si="123"/>
      </c>
    </row>
    <row r="455" spans="6:30" ht="16.5" customHeight="1">
      <c r="F455" s="210">
        <f t="shared" si="124"/>
        <v>450</v>
      </c>
      <c r="G455" s="28">
        <f aca="true" t="shared" si="137" ref="G455:G505">IF(OR(G454="",AND(G454&gt;D$11,J454&gt;D$27)),"",DATE(YEAR(G$6),MONTH(G$6)+F454+IF(OR(D$9="末",D$9=31),1,0),IF(OR(D$9="末",D$9=31),0,D$9)))</f>
      </c>
      <c r="H455" s="29">
        <f t="shared" si="135"/>
      </c>
      <c r="I455" s="22">
        <f t="shared" si="131"/>
      </c>
      <c r="J455" s="30">
        <f t="shared" si="125"/>
      </c>
      <c r="K455" s="23">
        <f t="shared" si="132"/>
      </c>
      <c r="L455" s="29">
        <f t="shared" si="126"/>
      </c>
      <c r="M455" s="22">
        <f t="shared" si="127"/>
      </c>
      <c r="N455" s="23">
        <f t="shared" si="133"/>
      </c>
      <c r="O455" s="29">
        <f t="shared" si="134"/>
      </c>
      <c r="P455" s="22">
        <f t="shared" si="128"/>
      </c>
      <c r="Q455" s="23">
        <f t="shared" si="129"/>
      </c>
      <c r="R455" s="24">
        <f t="shared" si="130"/>
        <v>0</v>
      </c>
      <c r="S455" s="211">
        <f t="shared" si="136"/>
      </c>
      <c r="T455" s="39"/>
      <c r="AB455" s="136">
        <f aca="true" t="shared" si="138" ref="AB455:AB505">IF(H455="","",IF(AND(MONTH(D$6)=MONTH(H455)),YEAR(H455)-YEAR(D$6)&amp;"歳誕生月",""))</f>
      </c>
      <c r="AC455" s="136">
        <f aca="true" t="shared" si="139" ref="AC455:AC505">IF(L455="","",IF(AND(MONTH(D$22)=MONTH(L455)),YEAR(L455)-YEAR(D$22)&amp;"歳誕生月",""))</f>
      </c>
      <c r="AD455" s="136">
        <f aca="true" t="shared" si="140" ref="AD455:AD505">IF(O455="","",IF(AND(MONTH(D$38)=MONTH(O455)),YEAR(O455)-YEAR(D$38)&amp;"歳誕生月",""))</f>
      </c>
    </row>
    <row r="456" spans="6:30" ht="16.5" customHeight="1">
      <c r="F456" s="210">
        <f aca="true" t="shared" si="141" ref="F456:F505">F455+1</f>
        <v>451</v>
      </c>
      <c r="G456" s="28">
        <f t="shared" si="137"/>
      </c>
      <c r="H456" s="29">
        <f t="shared" si="135"/>
      </c>
      <c r="I456" s="22">
        <f t="shared" si="131"/>
      </c>
      <c r="J456" s="30">
        <f aca="true" t="shared" si="142" ref="J456:J505">IF(OR(J455="",J455&gt;D$27),"",DATE(YEAR(J$6),MONTH(J$6)+F455+IF(OR(D$25="末",D$25=31),1,0),IF(OR(D$25="末",D$25=31),0,D$25)))</f>
      </c>
      <c r="K456" s="23">
        <f t="shared" si="132"/>
      </c>
      <c r="L456" s="29">
        <f aca="true" t="shared" si="143" ref="L456:L501">IF(L455="","",IF(AND(J456&gt;DATE(YEAR(D$27),MONTH(D$27)+1,0),J456&gt;D$11),"",IF(DAY(J456)&lt;&gt;D$25,DATE(YEAR(J456),MONTH(J456)+1,0),J456)))</f>
      </c>
      <c r="M456" s="22">
        <f aca="true" t="shared" si="144" ref="M456:M501">IF(L456="","",IF(AND(D$28&lt;&gt;0,L456&gt;D$28),D$29,M455))</f>
      </c>
      <c r="N456" s="23">
        <f t="shared" si="133"/>
      </c>
      <c r="O456" s="29">
        <f t="shared" si="134"/>
      </c>
      <c r="P456" s="22">
        <f aca="true" t="shared" si="145" ref="P456:P505">IF(O456="","",IF(AND(D$44&lt;&gt;0,O456&gt;D$44),D$45,P455))</f>
      </c>
      <c r="Q456" s="23">
        <f aca="true" t="shared" si="146" ref="Q456:Q505">IF(O456="","",AD456)</f>
      </c>
      <c r="R456" s="24">
        <f aca="true" t="shared" si="147" ref="R456:R505">IF(I456="",0,I456)+IF(M456="",0,M456)+IF(P456="",0,P456)</f>
        <v>0</v>
      </c>
      <c r="S456" s="211">
        <f t="shared" si="136"/>
      </c>
      <c r="T456" s="39"/>
      <c r="AB456" s="136">
        <f t="shared" si="138"/>
      </c>
      <c r="AC456" s="136">
        <f t="shared" si="139"/>
      </c>
      <c r="AD456" s="136">
        <f t="shared" si="140"/>
      </c>
    </row>
    <row r="457" spans="6:30" ht="16.5" customHeight="1">
      <c r="F457" s="210">
        <f t="shared" si="141"/>
        <v>452</v>
      </c>
      <c r="G457" s="28">
        <f t="shared" si="137"/>
      </c>
      <c r="H457" s="29">
        <f t="shared" si="135"/>
      </c>
      <c r="I457" s="22">
        <f aca="true" t="shared" si="148" ref="I457:I505">IF(H457="","",IF(AND(D$12&lt;&gt;0,H457&gt;D$12),D$13,I456))</f>
      </c>
      <c r="J457" s="30">
        <f t="shared" si="142"/>
      </c>
      <c r="K457" s="23">
        <f aca="true" t="shared" si="149" ref="K457:K505">IF(H457="","",IF(AND(YEAR(H457)=YEAR(D$15),MONTH(H457)=MONTH(D$15)),B$15,IF(AND(YEAR(H457)=YEAR(D$16),MONTH(H457)=MONTH(D$16)),B$16,IF(AND(YEAR(H457)=YEAR(D$17),MONTH(H457)=MONTH(D$17)),B$17,IF(AND(YEAR(H457)=YEAR(D$19),MONTH(H457)=MONTH(D$19)),B$19,IF(AND(YEAR(H457)=YEAR(D$18),MONTH(H457)=MONTH(D$18)),B$18,AB457))))))</f>
      </c>
      <c r="L457" s="29">
        <f t="shared" si="143"/>
      </c>
      <c r="M457" s="22">
        <f t="shared" si="144"/>
      </c>
      <c r="N457" s="23">
        <f aca="true" t="shared" si="150" ref="N457:N505">IF(L457="","",IF(AND(YEAR(L457)=YEAR(D$31),MONTH(L457)=MONTH(D$31)),B$31,IF(AND(YEAR(L457)=YEAR(D$32),MONTH(L457)=MONTH(D$32)),B$32,IF(AND(YEAR(L457)=YEAR(D$33),MONTH(L457)=MONTH(D$33)),B$33,IF(AND(YEAR(L457)=YEAR(D$35),MONTH(L457)=MONTH(D$35)),B$35,IF(AND(YEAR(L457)=YEAR(D$34),MONTH(L457)=MONTH(D$34)),B$34,AC457))))))</f>
      </c>
      <c r="O457" s="29">
        <f t="shared" si="134"/>
      </c>
      <c r="P457" s="22">
        <f t="shared" si="145"/>
      </c>
      <c r="Q457" s="23">
        <f t="shared" si="146"/>
      </c>
      <c r="R457" s="24">
        <f t="shared" si="147"/>
        <v>0</v>
      </c>
      <c r="S457" s="211">
        <f t="shared" si="136"/>
      </c>
      <c r="T457" s="39"/>
      <c r="AB457" s="136">
        <f t="shared" si="138"/>
      </c>
      <c r="AC457" s="136">
        <f t="shared" si="139"/>
      </c>
      <c r="AD457" s="136">
        <f t="shared" si="140"/>
      </c>
    </row>
    <row r="458" spans="6:30" ht="16.5" customHeight="1">
      <c r="F458" s="210">
        <f t="shared" si="141"/>
        <v>453</v>
      </c>
      <c r="G458" s="28">
        <f t="shared" si="137"/>
      </c>
      <c r="H458" s="29">
        <f t="shared" si="135"/>
      </c>
      <c r="I458" s="22">
        <f t="shared" si="148"/>
      </c>
      <c r="J458" s="30">
        <f t="shared" si="142"/>
      </c>
      <c r="K458" s="23">
        <f t="shared" si="149"/>
      </c>
      <c r="L458" s="29">
        <f t="shared" si="143"/>
      </c>
      <c r="M458" s="22">
        <f t="shared" si="144"/>
      </c>
      <c r="N458" s="23">
        <f t="shared" si="150"/>
      </c>
      <c r="O458" s="29">
        <f t="shared" si="134"/>
      </c>
      <c r="P458" s="22">
        <f t="shared" si="145"/>
      </c>
      <c r="Q458" s="23">
        <f t="shared" si="146"/>
      </c>
      <c r="R458" s="24">
        <f t="shared" si="147"/>
        <v>0</v>
      </c>
      <c r="S458" s="211">
        <f t="shared" si="136"/>
      </c>
      <c r="T458" s="39"/>
      <c r="AB458" s="136">
        <f t="shared" si="138"/>
      </c>
      <c r="AC458" s="136">
        <f t="shared" si="139"/>
      </c>
      <c r="AD458" s="136">
        <f t="shared" si="140"/>
      </c>
    </row>
    <row r="459" spans="6:30" ht="16.5" customHeight="1">
      <c r="F459" s="210">
        <f t="shared" si="141"/>
        <v>454</v>
      </c>
      <c r="G459" s="28">
        <f t="shared" si="137"/>
      </c>
      <c r="H459" s="29">
        <f t="shared" si="135"/>
      </c>
      <c r="I459" s="22">
        <f t="shared" si="148"/>
      </c>
      <c r="J459" s="30">
        <f t="shared" si="142"/>
      </c>
      <c r="K459" s="23">
        <f t="shared" si="149"/>
      </c>
      <c r="L459" s="29">
        <f t="shared" si="143"/>
      </c>
      <c r="M459" s="22">
        <f t="shared" si="144"/>
      </c>
      <c r="N459" s="23">
        <f t="shared" si="150"/>
      </c>
      <c r="O459" s="29">
        <f t="shared" si="134"/>
      </c>
      <c r="P459" s="22">
        <f t="shared" si="145"/>
      </c>
      <c r="Q459" s="23">
        <f t="shared" si="146"/>
      </c>
      <c r="R459" s="24">
        <f t="shared" si="147"/>
        <v>0</v>
      </c>
      <c r="S459" s="211">
        <f t="shared" si="136"/>
      </c>
      <c r="T459" s="39"/>
      <c r="AB459" s="136">
        <f t="shared" si="138"/>
      </c>
      <c r="AC459" s="136">
        <f t="shared" si="139"/>
      </c>
      <c r="AD459" s="136">
        <f t="shared" si="140"/>
      </c>
    </row>
    <row r="460" spans="6:30" ht="16.5" customHeight="1">
      <c r="F460" s="210">
        <f t="shared" si="141"/>
        <v>455</v>
      </c>
      <c r="G460" s="28">
        <f t="shared" si="137"/>
      </c>
      <c r="H460" s="29">
        <f t="shared" si="135"/>
      </c>
      <c r="I460" s="22">
        <f t="shared" si="148"/>
      </c>
      <c r="J460" s="30">
        <f t="shared" si="142"/>
      </c>
      <c r="K460" s="23">
        <f t="shared" si="149"/>
      </c>
      <c r="L460" s="29">
        <f t="shared" si="143"/>
      </c>
      <c r="M460" s="22">
        <f t="shared" si="144"/>
      </c>
      <c r="N460" s="23">
        <f t="shared" si="150"/>
      </c>
      <c r="O460" s="29">
        <f t="shared" si="134"/>
      </c>
      <c r="P460" s="22">
        <f t="shared" si="145"/>
      </c>
      <c r="Q460" s="23">
        <f t="shared" si="146"/>
      </c>
      <c r="R460" s="24">
        <f t="shared" si="147"/>
        <v>0</v>
      </c>
      <c r="S460" s="211">
        <f t="shared" si="136"/>
      </c>
      <c r="T460" s="39"/>
      <c r="AB460" s="136">
        <f t="shared" si="138"/>
      </c>
      <c r="AC460" s="136">
        <f t="shared" si="139"/>
      </c>
      <c r="AD460" s="136">
        <f t="shared" si="140"/>
      </c>
    </row>
    <row r="461" spans="6:30" ht="16.5" customHeight="1">
      <c r="F461" s="210">
        <f t="shared" si="141"/>
        <v>456</v>
      </c>
      <c r="G461" s="28">
        <f t="shared" si="137"/>
      </c>
      <c r="H461" s="29">
        <f t="shared" si="135"/>
      </c>
      <c r="I461" s="22">
        <f t="shared" si="148"/>
      </c>
      <c r="J461" s="30">
        <f t="shared" si="142"/>
      </c>
      <c r="K461" s="23">
        <f t="shared" si="149"/>
      </c>
      <c r="L461" s="29">
        <f t="shared" si="143"/>
      </c>
      <c r="M461" s="22">
        <f t="shared" si="144"/>
      </c>
      <c r="N461" s="23">
        <f t="shared" si="150"/>
      </c>
      <c r="O461" s="29">
        <f t="shared" si="134"/>
      </c>
      <c r="P461" s="22">
        <f t="shared" si="145"/>
      </c>
      <c r="Q461" s="23">
        <f t="shared" si="146"/>
      </c>
      <c r="R461" s="24">
        <f t="shared" si="147"/>
        <v>0</v>
      </c>
      <c r="S461" s="211">
        <f t="shared" si="136"/>
      </c>
      <c r="T461" s="39"/>
      <c r="AB461" s="136">
        <f t="shared" si="138"/>
      </c>
      <c r="AC461" s="136">
        <f t="shared" si="139"/>
      </c>
      <c r="AD461" s="136">
        <f t="shared" si="140"/>
      </c>
    </row>
    <row r="462" spans="6:30" ht="16.5" customHeight="1">
      <c r="F462" s="210">
        <f t="shared" si="141"/>
        <v>457</v>
      </c>
      <c r="G462" s="28">
        <f t="shared" si="137"/>
      </c>
      <c r="H462" s="29">
        <f t="shared" si="135"/>
      </c>
      <c r="I462" s="22">
        <f t="shared" si="148"/>
      </c>
      <c r="J462" s="30">
        <f t="shared" si="142"/>
      </c>
      <c r="K462" s="23">
        <f t="shared" si="149"/>
      </c>
      <c r="L462" s="29">
        <f t="shared" si="143"/>
      </c>
      <c r="M462" s="22">
        <f t="shared" si="144"/>
      </c>
      <c r="N462" s="23">
        <f t="shared" si="150"/>
      </c>
      <c r="O462" s="29">
        <f t="shared" si="134"/>
      </c>
      <c r="P462" s="22">
        <f t="shared" si="145"/>
      </c>
      <c r="Q462" s="23">
        <f t="shared" si="146"/>
      </c>
      <c r="R462" s="24">
        <f t="shared" si="147"/>
        <v>0</v>
      </c>
      <c r="S462" s="211">
        <f t="shared" si="136"/>
      </c>
      <c r="T462" s="39"/>
      <c r="AB462" s="136">
        <f t="shared" si="138"/>
      </c>
      <c r="AC462" s="136">
        <f t="shared" si="139"/>
      </c>
      <c r="AD462" s="136">
        <f t="shared" si="140"/>
      </c>
    </row>
    <row r="463" spans="6:30" ht="16.5" customHeight="1">
      <c r="F463" s="210">
        <f t="shared" si="141"/>
        <v>458</v>
      </c>
      <c r="G463" s="28">
        <f t="shared" si="137"/>
      </c>
      <c r="H463" s="29">
        <f t="shared" si="135"/>
      </c>
      <c r="I463" s="22">
        <f t="shared" si="148"/>
      </c>
      <c r="J463" s="30">
        <f t="shared" si="142"/>
      </c>
      <c r="K463" s="23">
        <f t="shared" si="149"/>
      </c>
      <c r="L463" s="29">
        <f t="shared" si="143"/>
      </c>
      <c r="M463" s="22">
        <f t="shared" si="144"/>
      </c>
      <c r="N463" s="23">
        <f t="shared" si="150"/>
      </c>
      <c r="O463" s="29">
        <f t="shared" si="134"/>
      </c>
      <c r="P463" s="22">
        <f t="shared" si="145"/>
      </c>
      <c r="Q463" s="23">
        <f t="shared" si="146"/>
      </c>
      <c r="R463" s="24">
        <f t="shared" si="147"/>
        <v>0</v>
      </c>
      <c r="S463" s="211">
        <f t="shared" si="136"/>
      </c>
      <c r="T463" s="39"/>
      <c r="AB463" s="136">
        <f t="shared" si="138"/>
      </c>
      <c r="AC463" s="136">
        <f t="shared" si="139"/>
      </c>
      <c r="AD463" s="136">
        <f t="shared" si="140"/>
      </c>
    </row>
    <row r="464" spans="6:30" ht="16.5" customHeight="1">
      <c r="F464" s="210">
        <f t="shared" si="141"/>
        <v>459</v>
      </c>
      <c r="G464" s="28">
        <f t="shared" si="137"/>
      </c>
      <c r="H464" s="29">
        <f t="shared" si="135"/>
      </c>
      <c r="I464" s="22">
        <f t="shared" si="148"/>
      </c>
      <c r="J464" s="30">
        <f t="shared" si="142"/>
      </c>
      <c r="K464" s="23">
        <f t="shared" si="149"/>
      </c>
      <c r="L464" s="29">
        <f t="shared" si="143"/>
      </c>
      <c r="M464" s="22">
        <f t="shared" si="144"/>
      </c>
      <c r="N464" s="23">
        <f t="shared" si="150"/>
      </c>
      <c r="O464" s="29">
        <f t="shared" si="134"/>
      </c>
      <c r="P464" s="22">
        <f t="shared" si="145"/>
      </c>
      <c r="Q464" s="23">
        <f t="shared" si="146"/>
      </c>
      <c r="R464" s="24">
        <f t="shared" si="147"/>
        <v>0</v>
      </c>
      <c r="S464" s="211">
        <f t="shared" si="136"/>
      </c>
      <c r="T464" s="39"/>
      <c r="AB464" s="136">
        <f t="shared" si="138"/>
      </c>
      <c r="AC464" s="136">
        <f t="shared" si="139"/>
      </c>
      <c r="AD464" s="136">
        <f t="shared" si="140"/>
      </c>
    </row>
    <row r="465" spans="6:30" ht="16.5" customHeight="1">
      <c r="F465" s="210">
        <f t="shared" si="141"/>
        <v>460</v>
      </c>
      <c r="G465" s="28">
        <f t="shared" si="137"/>
      </c>
      <c r="H465" s="29">
        <f t="shared" si="135"/>
      </c>
      <c r="I465" s="22">
        <f t="shared" si="148"/>
      </c>
      <c r="J465" s="30">
        <f t="shared" si="142"/>
      </c>
      <c r="K465" s="23">
        <f t="shared" si="149"/>
      </c>
      <c r="L465" s="29">
        <f t="shared" si="143"/>
      </c>
      <c r="M465" s="22">
        <f t="shared" si="144"/>
      </c>
      <c r="N465" s="23">
        <f t="shared" si="150"/>
      </c>
      <c r="O465" s="29">
        <f t="shared" si="134"/>
      </c>
      <c r="P465" s="22">
        <f t="shared" si="145"/>
      </c>
      <c r="Q465" s="23">
        <f t="shared" si="146"/>
      </c>
      <c r="R465" s="24">
        <f t="shared" si="147"/>
        <v>0</v>
      </c>
      <c r="S465" s="211">
        <f t="shared" si="136"/>
      </c>
      <c r="T465" s="39"/>
      <c r="AB465" s="136">
        <f t="shared" si="138"/>
      </c>
      <c r="AC465" s="136">
        <f t="shared" si="139"/>
      </c>
      <c r="AD465" s="136">
        <f t="shared" si="140"/>
      </c>
    </row>
    <row r="466" spans="6:30" ht="16.5" customHeight="1">
      <c r="F466" s="210">
        <f t="shared" si="141"/>
        <v>461</v>
      </c>
      <c r="G466" s="28">
        <f t="shared" si="137"/>
      </c>
      <c r="H466" s="29">
        <f t="shared" si="135"/>
      </c>
      <c r="I466" s="22">
        <f t="shared" si="148"/>
      </c>
      <c r="J466" s="30">
        <f t="shared" si="142"/>
      </c>
      <c r="K466" s="23">
        <f t="shared" si="149"/>
      </c>
      <c r="L466" s="29">
        <f t="shared" si="143"/>
      </c>
      <c r="M466" s="22">
        <f t="shared" si="144"/>
      </c>
      <c r="N466" s="23">
        <f t="shared" si="150"/>
      </c>
      <c r="O466" s="29">
        <f t="shared" si="134"/>
      </c>
      <c r="P466" s="22">
        <f t="shared" si="145"/>
      </c>
      <c r="Q466" s="23">
        <f t="shared" si="146"/>
      </c>
      <c r="R466" s="24">
        <f t="shared" si="147"/>
        <v>0</v>
      </c>
      <c r="S466" s="211">
        <f t="shared" si="136"/>
      </c>
      <c r="T466" s="39"/>
      <c r="AB466" s="136">
        <f t="shared" si="138"/>
      </c>
      <c r="AC466" s="136">
        <f t="shared" si="139"/>
      </c>
      <c r="AD466" s="136">
        <f t="shared" si="140"/>
      </c>
    </row>
    <row r="467" spans="6:30" ht="16.5" customHeight="1">
      <c r="F467" s="210">
        <f t="shared" si="141"/>
        <v>462</v>
      </c>
      <c r="G467" s="28">
        <f t="shared" si="137"/>
      </c>
      <c r="H467" s="29">
        <f t="shared" si="135"/>
      </c>
      <c r="I467" s="22">
        <f t="shared" si="148"/>
      </c>
      <c r="J467" s="30">
        <f t="shared" si="142"/>
      </c>
      <c r="K467" s="23">
        <f t="shared" si="149"/>
      </c>
      <c r="L467" s="29">
        <f t="shared" si="143"/>
      </c>
      <c r="M467" s="22">
        <f t="shared" si="144"/>
      </c>
      <c r="N467" s="23">
        <f t="shared" si="150"/>
      </c>
      <c r="O467" s="29">
        <f t="shared" si="134"/>
      </c>
      <c r="P467" s="22">
        <f t="shared" si="145"/>
      </c>
      <c r="Q467" s="23">
        <f t="shared" si="146"/>
      </c>
      <c r="R467" s="24">
        <f t="shared" si="147"/>
        <v>0</v>
      </c>
      <c r="S467" s="211">
        <f t="shared" si="136"/>
      </c>
      <c r="T467" s="39"/>
      <c r="AB467" s="136">
        <f t="shared" si="138"/>
      </c>
      <c r="AC467" s="136">
        <f t="shared" si="139"/>
      </c>
      <c r="AD467" s="136">
        <f t="shared" si="140"/>
      </c>
    </row>
    <row r="468" spans="6:30" ht="16.5" customHeight="1">
      <c r="F468" s="210">
        <f t="shared" si="141"/>
        <v>463</v>
      </c>
      <c r="G468" s="28">
        <f t="shared" si="137"/>
      </c>
      <c r="H468" s="29">
        <f t="shared" si="135"/>
      </c>
      <c r="I468" s="22">
        <f t="shared" si="148"/>
      </c>
      <c r="J468" s="30">
        <f t="shared" si="142"/>
      </c>
      <c r="K468" s="23">
        <f t="shared" si="149"/>
      </c>
      <c r="L468" s="29">
        <f t="shared" si="143"/>
      </c>
      <c r="M468" s="22">
        <f t="shared" si="144"/>
      </c>
      <c r="N468" s="23">
        <f t="shared" si="150"/>
      </c>
      <c r="O468" s="29">
        <f t="shared" si="134"/>
      </c>
      <c r="P468" s="22">
        <f t="shared" si="145"/>
      </c>
      <c r="Q468" s="23">
        <f t="shared" si="146"/>
      </c>
      <c r="R468" s="24">
        <f t="shared" si="147"/>
        <v>0</v>
      </c>
      <c r="S468" s="211">
        <f t="shared" si="136"/>
      </c>
      <c r="T468" s="39"/>
      <c r="AB468" s="136">
        <f t="shared" si="138"/>
      </c>
      <c r="AC468" s="136">
        <f t="shared" si="139"/>
      </c>
      <c r="AD468" s="136">
        <f t="shared" si="140"/>
      </c>
    </row>
    <row r="469" spans="6:30" ht="16.5" customHeight="1">
      <c r="F469" s="210">
        <f t="shared" si="141"/>
        <v>464</v>
      </c>
      <c r="G469" s="28">
        <f t="shared" si="137"/>
      </c>
      <c r="H469" s="29">
        <f t="shared" si="135"/>
      </c>
      <c r="I469" s="22">
        <f t="shared" si="148"/>
      </c>
      <c r="J469" s="30">
        <f t="shared" si="142"/>
      </c>
      <c r="K469" s="23">
        <f t="shared" si="149"/>
      </c>
      <c r="L469" s="29">
        <f t="shared" si="143"/>
      </c>
      <c r="M469" s="22">
        <f t="shared" si="144"/>
      </c>
      <c r="N469" s="23">
        <f t="shared" si="150"/>
      </c>
      <c r="O469" s="29">
        <f t="shared" si="134"/>
      </c>
      <c r="P469" s="22">
        <f t="shared" si="145"/>
      </c>
      <c r="Q469" s="23">
        <f t="shared" si="146"/>
      </c>
      <c r="R469" s="24">
        <f t="shared" si="147"/>
        <v>0</v>
      </c>
      <c r="S469" s="211">
        <f t="shared" si="136"/>
      </c>
      <c r="T469" s="39"/>
      <c r="AB469" s="136">
        <f t="shared" si="138"/>
      </c>
      <c r="AC469" s="136">
        <f t="shared" si="139"/>
      </c>
      <c r="AD469" s="136">
        <f t="shared" si="140"/>
      </c>
    </row>
    <row r="470" spans="6:30" ht="16.5" customHeight="1">
      <c r="F470" s="210">
        <f t="shared" si="141"/>
        <v>465</v>
      </c>
      <c r="G470" s="28">
        <f t="shared" si="137"/>
      </c>
      <c r="H470" s="29">
        <f t="shared" si="135"/>
      </c>
      <c r="I470" s="22">
        <f t="shared" si="148"/>
      </c>
      <c r="J470" s="30">
        <f t="shared" si="142"/>
      </c>
      <c r="K470" s="23">
        <f t="shared" si="149"/>
      </c>
      <c r="L470" s="29">
        <f t="shared" si="143"/>
      </c>
      <c r="M470" s="22">
        <f t="shared" si="144"/>
      </c>
      <c r="N470" s="23">
        <f t="shared" si="150"/>
      </c>
      <c r="O470" s="29">
        <f t="shared" si="134"/>
      </c>
      <c r="P470" s="22">
        <f t="shared" si="145"/>
      </c>
      <c r="Q470" s="23">
        <f t="shared" si="146"/>
      </c>
      <c r="R470" s="24">
        <f t="shared" si="147"/>
        <v>0</v>
      </c>
      <c r="S470" s="211">
        <f t="shared" si="136"/>
      </c>
      <c r="T470" s="39"/>
      <c r="AB470" s="136">
        <f t="shared" si="138"/>
      </c>
      <c r="AC470" s="136">
        <f t="shared" si="139"/>
      </c>
      <c r="AD470" s="136">
        <f t="shared" si="140"/>
      </c>
    </row>
    <row r="471" spans="6:30" ht="16.5" customHeight="1">
      <c r="F471" s="210">
        <f t="shared" si="141"/>
        <v>466</v>
      </c>
      <c r="G471" s="28">
        <f t="shared" si="137"/>
      </c>
      <c r="H471" s="29">
        <f t="shared" si="135"/>
      </c>
      <c r="I471" s="22">
        <f t="shared" si="148"/>
      </c>
      <c r="J471" s="30">
        <f t="shared" si="142"/>
      </c>
      <c r="K471" s="23">
        <f t="shared" si="149"/>
      </c>
      <c r="L471" s="29">
        <f t="shared" si="143"/>
      </c>
      <c r="M471" s="22">
        <f t="shared" si="144"/>
      </c>
      <c r="N471" s="23">
        <f t="shared" si="150"/>
      </c>
      <c r="O471" s="29">
        <f t="shared" si="134"/>
      </c>
      <c r="P471" s="22">
        <f t="shared" si="145"/>
      </c>
      <c r="Q471" s="23">
        <f t="shared" si="146"/>
      </c>
      <c r="R471" s="24">
        <f t="shared" si="147"/>
        <v>0</v>
      </c>
      <c r="S471" s="211">
        <f t="shared" si="136"/>
      </c>
      <c r="T471" s="39"/>
      <c r="AB471" s="136">
        <f t="shared" si="138"/>
      </c>
      <c r="AC471" s="136">
        <f t="shared" si="139"/>
      </c>
      <c r="AD471" s="136">
        <f t="shared" si="140"/>
      </c>
    </row>
    <row r="472" spans="6:30" ht="16.5" customHeight="1">
      <c r="F472" s="210">
        <f t="shared" si="141"/>
        <v>467</v>
      </c>
      <c r="G472" s="28">
        <f t="shared" si="137"/>
      </c>
      <c r="H472" s="29">
        <f t="shared" si="135"/>
      </c>
      <c r="I472" s="22">
        <f t="shared" si="148"/>
      </c>
      <c r="J472" s="30">
        <f t="shared" si="142"/>
      </c>
      <c r="K472" s="23">
        <f t="shared" si="149"/>
      </c>
      <c r="L472" s="29">
        <f t="shared" si="143"/>
      </c>
      <c r="M472" s="22">
        <f t="shared" si="144"/>
      </c>
      <c r="N472" s="23">
        <f t="shared" si="150"/>
      </c>
      <c r="O472" s="29">
        <f t="shared" si="134"/>
      </c>
      <c r="P472" s="22">
        <f t="shared" si="145"/>
      </c>
      <c r="Q472" s="23">
        <f t="shared" si="146"/>
      </c>
      <c r="R472" s="24">
        <f t="shared" si="147"/>
        <v>0</v>
      </c>
      <c r="S472" s="211">
        <f t="shared" si="136"/>
      </c>
      <c r="T472" s="39"/>
      <c r="AB472" s="136">
        <f t="shared" si="138"/>
      </c>
      <c r="AC472" s="136">
        <f t="shared" si="139"/>
      </c>
      <c r="AD472" s="136">
        <f t="shared" si="140"/>
      </c>
    </row>
    <row r="473" spans="6:30" ht="16.5" customHeight="1">
      <c r="F473" s="210">
        <f t="shared" si="141"/>
        <v>468</v>
      </c>
      <c r="G473" s="28">
        <f t="shared" si="137"/>
      </c>
      <c r="H473" s="29">
        <f t="shared" si="135"/>
      </c>
      <c r="I473" s="22">
        <f t="shared" si="148"/>
      </c>
      <c r="J473" s="30">
        <f t="shared" si="142"/>
      </c>
      <c r="K473" s="23">
        <f t="shared" si="149"/>
      </c>
      <c r="L473" s="29">
        <f t="shared" si="143"/>
      </c>
      <c r="M473" s="22">
        <f t="shared" si="144"/>
      </c>
      <c r="N473" s="23">
        <f t="shared" si="150"/>
      </c>
      <c r="O473" s="29">
        <f t="shared" si="134"/>
      </c>
      <c r="P473" s="22">
        <f t="shared" si="145"/>
      </c>
      <c r="Q473" s="23">
        <f t="shared" si="146"/>
      </c>
      <c r="R473" s="24">
        <f t="shared" si="147"/>
        <v>0</v>
      </c>
      <c r="S473" s="211">
        <f t="shared" si="136"/>
      </c>
      <c r="T473" s="39"/>
      <c r="AB473" s="136">
        <f t="shared" si="138"/>
      </c>
      <c r="AC473" s="136">
        <f t="shared" si="139"/>
      </c>
      <c r="AD473" s="136">
        <f t="shared" si="140"/>
      </c>
    </row>
    <row r="474" spans="6:30" ht="16.5" customHeight="1">
      <c r="F474" s="210">
        <f t="shared" si="141"/>
        <v>469</v>
      </c>
      <c r="G474" s="28">
        <f t="shared" si="137"/>
      </c>
      <c r="H474" s="29">
        <f t="shared" si="135"/>
      </c>
      <c r="I474" s="22">
        <f t="shared" si="148"/>
      </c>
      <c r="J474" s="30">
        <f t="shared" si="142"/>
      </c>
      <c r="K474" s="23">
        <f t="shared" si="149"/>
      </c>
      <c r="L474" s="29">
        <f t="shared" si="143"/>
      </c>
      <c r="M474" s="22">
        <f t="shared" si="144"/>
      </c>
      <c r="N474" s="23">
        <f t="shared" si="150"/>
      </c>
      <c r="O474" s="29">
        <f t="shared" si="134"/>
      </c>
      <c r="P474" s="22">
        <f t="shared" si="145"/>
      </c>
      <c r="Q474" s="23">
        <f t="shared" si="146"/>
      </c>
      <c r="R474" s="24">
        <f t="shared" si="147"/>
        <v>0</v>
      </c>
      <c r="S474" s="211">
        <f t="shared" si="136"/>
      </c>
      <c r="T474" s="39"/>
      <c r="AB474" s="136">
        <f t="shared" si="138"/>
      </c>
      <c r="AC474" s="136">
        <f t="shared" si="139"/>
      </c>
      <c r="AD474" s="136">
        <f t="shared" si="140"/>
      </c>
    </row>
    <row r="475" spans="6:30" ht="16.5" customHeight="1">
      <c r="F475" s="210">
        <f t="shared" si="141"/>
        <v>470</v>
      </c>
      <c r="G475" s="28">
        <f t="shared" si="137"/>
      </c>
      <c r="H475" s="29">
        <f t="shared" si="135"/>
      </c>
      <c r="I475" s="22">
        <f t="shared" si="148"/>
      </c>
      <c r="J475" s="30">
        <f t="shared" si="142"/>
      </c>
      <c r="K475" s="23">
        <f t="shared" si="149"/>
      </c>
      <c r="L475" s="29">
        <f t="shared" si="143"/>
      </c>
      <c r="M475" s="22">
        <f t="shared" si="144"/>
      </c>
      <c r="N475" s="23">
        <f t="shared" si="150"/>
      </c>
      <c r="O475" s="29">
        <f t="shared" si="134"/>
      </c>
      <c r="P475" s="22">
        <f t="shared" si="145"/>
      </c>
      <c r="Q475" s="23">
        <f t="shared" si="146"/>
      </c>
      <c r="R475" s="24">
        <f t="shared" si="147"/>
        <v>0</v>
      </c>
      <c r="S475" s="211">
        <f t="shared" si="136"/>
      </c>
      <c r="T475" s="39"/>
      <c r="AB475" s="136">
        <f t="shared" si="138"/>
      </c>
      <c r="AC475" s="136">
        <f t="shared" si="139"/>
      </c>
      <c r="AD475" s="136">
        <f t="shared" si="140"/>
      </c>
    </row>
    <row r="476" spans="6:30" ht="16.5" customHeight="1">
      <c r="F476" s="210">
        <f t="shared" si="141"/>
        <v>471</v>
      </c>
      <c r="G476" s="28">
        <f t="shared" si="137"/>
      </c>
      <c r="H476" s="29">
        <f t="shared" si="135"/>
      </c>
      <c r="I476" s="22">
        <f t="shared" si="148"/>
      </c>
      <c r="J476" s="30">
        <f t="shared" si="142"/>
      </c>
      <c r="K476" s="23">
        <f t="shared" si="149"/>
      </c>
      <c r="L476" s="29">
        <f t="shared" si="143"/>
      </c>
      <c r="M476" s="22">
        <f t="shared" si="144"/>
      </c>
      <c r="N476" s="23">
        <f t="shared" si="150"/>
      </c>
      <c r="O476" s="29">
        <f t="shared" si="134"/>
      </c>
      <c r="P476" s="22">
        <f t="shared" si="145"/>
      </c>
      <c r="Q476" s="23">
        <f t="shared" si="146"/>
      </c>
      <c r="R476" s="24">
        <f t="shared" si="147"/>
        <v>0</v>
      </c>
      <c r="S476" s="211">
        <f t="shared" si="136"/>
      </c>
      <c r="T476" s="39"/>
      <c r="AB476" s="136">
        <f t="shared" si="138"/>
      </c>
      <c r="AC476" s="136">
        <f t="shared" si="139"/>
      </c>
      <c r="AD476" s="136">
        <f t="shared" si="140"/>
      </c>
    </row>
    <row r="477" spans="6:30" ht="16.5" customHeight="1">
      <c r="F477" s="210">
        <f t="shared" si="141"/>
        <v>472</v>
      </c>
      <c r="G477" s="28">
        <f t="shared" si="137"/>
      </c>
      <c r="H477" s="29">
        <f t="shared" si="135"/>
      </c>
      <c r="I477" s="22">
        <f t="shared" si="148"/>
      </c>
      <c r="J477" s="30">
        <f t="shared" si="142"/>
      </c>
      <c r="K477" s="23">
        <f t="shared" si="149"/>
      </c>
      <c r="L477" s="29">
        <f t="shared" si="143"/>
      </c>
      <c r="M477" s="22">
        <f t="shared" si="144"/>
      </c>
      <c r="N477" s="23">
        <f t="shared" si="150"/>
      </c>
      <c r="O477" s="29">
        <f t="shared" si="134"/>
      </c>
      <c r="P477" s="22">
        <f t="shared" si="145"/>
      </c>
      <c r="Q477" s="23">
        <f t="shared" si="146"/>
      </c>
      <c r="R477" s="24">
        <f t="shared" si="147"/>
        <v>0</v>
      </c>
      <c r="S477" s="211">
        <f t="shared" si="136"/>
      </c>
      <c r="T477" s="39"/>
      <c r="AB477" s="136">
        <f t="shared" si="138"/>
      </c>
      <c r="AC477" s="136">
        <f t="shared" si="139"/>
      </c>
      <c r="AD477" s="136">
        <f t="shared" si="140"/>
      </c>
    </row>
    <row r="478" spans="6:30" ht="16.5" customHeight="1">
      <c r="F478" s="210">
        <f t="shared" si="141"/>
        <v>473</v>
      </c>
      <c r="G478" s="28">
        <f t="shared" si="137"/>
      </c>
      <c r="H478" s="29">
        <f t="shared" si="135"/>
      </c>
      <c r="I478" s="22">
        <f t="shared" si="148"/>
      </c>
      <c r="J478" s="30">
        <f t="shared" si="142"/>
      </c>
      <c r="K478" s="23">
        <f t="shared" si="149"/>
      </c>
      <c r="L478" s="29">
        <f t="shared" si="143"/>
      </c>
      <c r="M478" s="22">
        <f t="shared" si="144"/>
      </c>
      <c r="N478" s="23">
        <f t="shared" si="150"/>
      </c>
      <c r="O478" s="29">
        <f t="shared" si="134"/>
      </c>
      <c r="P478" s="22">
        <f t="shared" si="145"/>
      </c>
      <c r="Q478" s="23">
        <f t="shared" si="146"/>
      </c>
      <c r="R478" s="24">
        <f t="shared" si="147"/>
        <v>0</v>
      </c>
      <c r="S478" s="211">
        <f t="shared" si="136"/>
      </c>
      <c r="T478" s="39"/>
      <c r="AB478" s="136">
        <f t="shared" si="138"/>
      </c>
      <c r="AC478" s="136">
        <f t="shared" si="139"/>
      </c>
      <c r="AD478" s="136">
        <f t="shared" si="140"/>
      </c>
    </row>
    <row r="479" spans="6:30" ht="16.5" customHeight="1">
      <c r="F479" s="210">
        <f t="shared" si="141"/>
        <v>474</v>
      </c>
      <c r="G479" s="28">
        <f t="shared" si="137"/>
      </c>
      <c r="H479" s="29">
        <f t="shared" si="135"/>
      </c>
      <c r="I479" s="22">
        <f t="shared" si="148"/>
      </c>
      <c r="J479" s="30">
        <f t="shared" si="142"/>
      </c>
      <c r="K479" s="23">
        <f t="shared" si="149"/>
      </c>
      <c r="L479" s="29">
        <f t="shared" si="143"/>
      </c>
      <c r="M479" s="22">
        <f t="shared" si="144"/>
      </c>
      <c r="N479" s="23">
        <f t="shared" si="150"/>
      </c>
      <c r="O479" s="29">
        <f t="shared" si="134"/>
      </c>
      <c r="P479" s="22">
        <f t="shared" si="145"/>
      </c>
      <c r="Q479" s="23">
        <f t="shared" si="146"/>
      </c>
      <c r="R479" s="24">
        <f t="shared" si="147"/>
        <v>0</v>
      </c>
      <c r="S479" s="211">
        <f t="shared" si="136"/>
      </c>
      <c r="T479" s="39"/>
      <c r="AB479" s="136">
        <f t="shared" si="138"/>
      </c>
      <c r="AC479" s="136">
        <f t="shared" si="139"/>
      </c>
      <c r="AD479" s="136">
        <f t="shared" si="140"/>
      </c>
    </row>
    <row r="480" spans="6:30" ht="16.5" customHeight="1">
      <c r="F480" s="210">
        <f t="shared" si="141"/>
        <v>475</v>
      </c>
      <c r="G480" s="28">
        <f t="shared" si="137"/>
      </c>
      <c r="H480" s="29">
        <f t="shared" si="135"/>
      </c>
      <c r="I480" s="22">
        <f t="shared" si="148"/>
      </c>
      <c r="J480" s="30">
        <f t="shared" si="142"/>
      </c>
      <c r="K480" s="23">
        <f t="shared" si="149"/>
      </c>
      <c r="L480" s="29">
        <f t="shared" si="143"/>
      </c>
      <c r="M480" s="22">
        <f t="shared" si="144"/>
      </c>
      <c r="N480" s="23">
        <f t="shared" si="150"/>
      </c>
      <c r="O480" s="29">
        <f t="shared" si="134"/>
      </c>
      <c r="P480" s="22">
        <f t="shared" si="145"/>
      </c>
      <c r="Q480" s="23">
        <f t="shared" si="146"/>
      </c>
      <c r="R480" s="24">
        <f t="shared" si="147"/>
        <v>0</v>
      </c>
      <c r="S480" s="211">
        <f t="shared" si="136"/>
      </c>
      <c r="T480" s="39"/>
      <c r="AB480" s="136">
        <f t="shared" si="138"/>
      </c>
      <c r="AC480" s="136">
        <f t="shared" si="139"/>
      </c>
      <c r="AD480" s="136">
        <f t="shared" si="140"/>
      </c>
    </row>
    <row r="481" spans="6:30" ht="16.5" customHeight="1">
      <c r="F481" s="210">
        <f t="shared" si="141"/>
        <v>476</v>
      </c>
      <c r="G481" s="28">
        <f t="shared" si="137"/>
      </c>
      <c r="H481" s="29">
        <f t="shared" si="135"/>
      </c>
      <c r="I481" s="22">
        <f t="shared" si="148"/>
      </c>
      <c r="J481" s="30">
        <f t="shared" si="142"/>
      </c>
      <c r="K481" s="23">
        <f t="shared" si="149"/>
      </c>
      <c r="L481" s="29">
        <f t="shared" si="143"/>
      </c>
      <c r="M481" s="22">
        <f t="shared" si="144"/>
      </c>
      <c r="N481" s="23">
        <f t="shared" si="150"/>
      </c>
      <c r="O481" s="29">
        <f t="shared" si="134"/>
      </c>
      <c r="P481" s="22">
        <f t="shared" si="145"/>
      </c>
      <c r="Q481" s="23">
        <f t="shared" si="146"/>
      </c>
      <c r="R481" s="24">
        <f t="shared" si="147"/>
        <v>0</v>
      </c>
      <c r="S481" s="211">
        <f t="shared" si="136"/>
      </c>
      <c r="T481" s="39"/>
      <c r="AB481" s="136">
        <f t="shared" si="138"/>
      </c>
      <c r="AC481" s="136">
        <f t="shared" si="139"/>
      </c>
      <c r="AD481" s="136">
        <f t="shared" si="140"/>
      </c>
    </row>
    <row r="482" spans="6:30" ht="16.5" customHeight="1">
      <c r="F482" s="210">
        <f t="shared" si="141"/>
        <v>477</v>
      </c>
      <c r="G482" s="28">
        <f t="shared" si="137"/>
      </c>
      <c r="H482" s="29">
        <f t="shared" si="135"/>
      </c>
      <c r="I482" s="22">
        <f t="shared" si="148"/>
      </c>
      <c r="J482" s="30">
        <f t="shared" si="142"/>
      </c>
      <c r="K482" s="23">
        <f t="shared" si="149"/>
      </c>
      <c r="L482" s="29">
        <f t="shared" si="143"/>
      </c>
      <c r="M482" s="22">
        <f t="shared" si="144"/>
      </c>
      <c r="N482" s="23">
        <f t="shared" si="150"/>
      </c>
      <c r="O482" s="29">
        <f t="shared" si="134"/>
      </c>
      <c r="P482" s="22">
        <f t="shared" si="145"/>
      </c>
      <c r="Q482" s="23">
        <f t="shared" si="146"/>
      </c>
      <c r="R482" s="24">
        <f t="shared" si="147"/>
        <v>0</v>
      </c>
      <c r="S482" s="211">
        <f t="shared" si="136"/>
      </c>
      <c r="T482" s="39"/>
      <c r="AB482" s="136">
        <f t="shared" si="138"/>
      </c>
      <c r="AC482" s="136">
        <f t="shared" si="139"/>
      </c>
      <c r="AD482" s="136">
        <f t="shared" si="140"/>
      </c>
    </row>
    <row r="483" spans="6:30" ht="16.5" customHeight="1">
      <c r="F483" s="210">
        <f t="shared" si="141"/>
        <v>478</v>
      </c>
      <c r="G483" s="28">
        <f t="shared" si="137"/>
      </c>
      <c r="H483" s="29">
        <f t="shared" si="135"/>
      </c>
      <c r="I483" s="22">
        <f t="shared" si="148"/>
      </c>
      <c r="J483" s="30">
        <f t="shared" si="142"/>
      </c>
      <c r="K483" s="23">
        <f t="shared" si="149"/>
      </c>
      <c r="L483" s="29">
        <f t="shared" si="143"/>
      </c>
      <c r="M483" s="22">
        <f t="shared" si="144"/>
      </c>
      <c r="N483" s="23">
        <f t="shared" si="150"/>
      </c>
      <c r="O483" s="29">
        <f t="shared" si="134"/>
      </c>
      <c r="P483" s="22">
        <f t="shared" si="145"/>
      </c>
      <c r="Q483" s="23">
        <f t="shared" si="146"/>
      </c>
      <c r="R483" s="24">
        <f t="shared" si="147"/>
        <v>0</v>
      </c>
      <c r="S483" s="211">
        <f t="shared" si="136"/>
      </c>
      <c r="T483" s="39"/>
      <c r="AB483" s="136">
        <f t="shared" si="138"/>
      </c>
      <c r="AC483" s="136">
        <f t="shared" si="139"/>
      </c>
      <c r="AD483" s="136">
        <f t="shared" si="140"/>
      </c>
    </row>
    <row r="484" spans="6:30" ht="16.5" customHeight="1">
      <c r="F484" s="210">
        <f t="shared" si="141"/>
        <v>479</v>
      </c>
      <c r="G484" s="28">
        <f t="shared" si="137"/>
      </c>
      <c r="H484" s="29">
        <f t="shared" si="135"/>
      </c>
      <c r="I484" s="22">
        <f t="shared" si="148"/>
      </c>
      <c r="J484" s="30">
        <f t="shared" si="142"/>
      </c>
      <c r="K484" s="23">
        <f t="shared" si="149"/>
      </c>
      <c r="L484" s="29">
        <f t="shared" si="143"/>
      </c>
      <c r="M484" s="22">
        <f t="shared" si="144"/>
      </c>
      <c r="N484" s="23">
        <f t="shared" si="150"/>
      </c>
      <c r="O484" s="29">
        <f t="shared" si="134"/>
      </c>
      <c r="P484" s="22">
        <f t="shared" si="145"/>
      </c>
      <c r="Q484" s="23">
        <f t="shared" si="146"/>
      </c>
      <c r="R484" s="24">
        <f t="shared" si="147"/>
        <v>0</v>
      </c>
      <c r="S484" s="211">
        <f t="shared" si="136"/>
      </c>
      <c r="T484" s="39"/>
      <c r="AB484" s="136">
        <f t="shared" si="138"/>
      </c>
      <c r="AC484" s="136">
        <f t="shared" si="139"/>
      </c>
      <c r="AD484" s="136">
        <f t="shared" si="140"/>
      </c>
    </row>
    <row r="485" spans="6:30" ht="16.5" customHeight="1">
      <c r="F485" s="210">
        <f t="shared" si="141"/>
        <v>480</v>
      </c>
      <c r="G485" s="28">
        <f t="shared" si="137"/>
      </c>
      <c r="H485" s="29">
        <f t="shared" si="135"/>
      </c>
      <c r="I485" s="22">
        <f t="shared" si="148"/>
      </c>
      <c r="J485" s="30">
        <f t="shared" si="142"/>
      </c>
      <c r="K485" s="23">
        <f t="shared" si="149"/>
      </c>
      <c r="L485" s="29">
        <f t="shared" si="143"/>
      </c>
      <c r="M485" s="22">
        <f t="shared" si="144"/>
      </c>
      <c r="N485" s="23">
        <f t="shared" si="150"/>
      </c>
      <c r="O485" s="29">
        <f t="shared" si="134"/>
      </c>
      <c r="P485" s="22">
        <f t="shared" si="145"/>
      </c>
      <c r="Q485" s="23">
        <f t="shared" si="146"/>
      </c>
      <c r="R485" s="24">
        <f t="shared" si="147"/>
        <v>0</v>
      </c>
      <c r="S485" s="211">
        <f t="shared" si="136"/>
      </c>
      <c r="T485" s="39"/>
      <c r="AB485" s="136">
        <f t="shared" si="138"/>
      </c>
      <c r="AC485" s="136">
        <f t="shared" si="139"/>
      </c>
      <c r="AD485" s="136">
        <f t="shared" si="140"/>
      </c>
    </row>
    <row r="486" spans="6:30" ht="16.5" customHeight="1">
      <c r="F486" s="210">
        <f t="shared" si="141"/>
        <v>481</v>
      </c>
      <c r="G486" s="28">
        <f t="shared" si="137"/>
      </c>
      <c r="H486" s="29">
        <f t="shared" si="135"/>
      </c>
      <c r="I486" s="22">
        <f t="shared" si="148"/>
      </c>
      <c r="J486" s="30">
        <f t="shared" si="142"/>
      </c>
      <c r="K486" s="23">
        <f t="shared" si="149"/>
      </c>
      <c r="L486" s="29">
        <f t="shared" si="143"/>
      </c>
      <c r="M486" s="22">
        <f t="shared" si="144"/>
      </c>
      <c r="N486" s="23">
        <f t="shared" si="150"/>
      </c>
      <c r="O486" s="29">
        <f aca="true" t="shared" si="151" ref="O486:O505">IF(O485="","",IF(DATE(YEAR(D$43),MONTH(D$43)+1,DAY(0))&lt;=DATE(YEAR(O485),MONTH(O485)+1,DAY(0)),"",IF($D$41="末",DATE(YEAR(O485),MONTH(O485)+2,DAY(0)),DATE(YEAR(O485),MONTH(O485)+1,DAY(O485)))))</f>
      </c>
      <c r="P486" s="22">
        <f t="shared" si="145"/>
      </c>
      <c r="Q486" s="23">
        <f t="shared" si="146"/>
      </c>
      <c r="R486" s="24">
        <f t="shared" si="147"/>
        <v>0</v>
      </c>
      <c r="S486" s="211">
        <f t="shared" si="136"/>
      </c>
      <c r="T486" s="39"/>
      <c r="AB486" s="136">
        <f t="shared" si="138"/>
      </c>
      <c r="AC486" s="136">
        <f t="shared" si="139"/>
      </c>
      <c r="AD486" s="136">
        <f t="shared" si="140"/>
      </c>
    </row>
    <row r="487" spans="6:30" ht="16.5" customHeight="1">
      <c r="F487" s="210">
        <f t="shared" si="141"/>
        <v>482</v>
      </c>
      <c r="G487" s="28">
        <f t="shared" si="137"/>
      </c>
      <c r="H487" s="29">
        <f t="shared" si="135"/>
      </c>
      <c r="I487" s="22">
        <f t="shared" si="148"/>
      </c>
      <c r="J487" s="30">
        <f t="shared" si="142"/>
      </c>
      <c r="K487" s="23">
        <f t="shared" si="149"/>
      </c>
      <c r="L487" s="29">
        <f t="shared" si="143"/>
      </c>
      <c r="M487" s="22">
        <f t="shared" si="144"/>
      </c>
      <c r="N487" s="23">
        <f t="shared" si="150"/>
      </c>
      <c r="O487" s="29">
        <f t="shared" si="151"/>
      </c>
      <c r="P487" s="22">
        <f t="shared" si="145"/>
      </c>
      <c r="Q487" s="23">
        <f t="shared" si="146"/>
      </c>
      <c r="R487" s="24">
        <f t="shared" si="147"/>
        <v>0</v>
      </c>
      <c r="S487" s="211">
        <f t="shared" si="136"/>
      </c>
      <c r="T487" s="39"/>
      <c r="AB487" s="136">
        <f t="shared" si="138"/>
      </c>
      <c r="AC487" s="136">
        <f t="shared" si="139"/>
      </c>
      <c r="AD487" s="136">
        <f t="shared" si="140"/>
      </c>
    </row>
    <row r="488" spans="6:30" ht="16.5" customHeight="1">
      <c r="F488" s="210">
        <f t="shared" si="141"/>
        <v>483</v>
      </c>
      <c r="G488" s="28">
        <f t="shared" si="137"/>
      </c>
      <c r="H488" s="29">
        <f t="shared" si="135"/>
      </c>
      <c r="I488" s="22">
        <f t="shared" si="148"/>
      </c>
      <c r="J488" s="30">
        <f t="shared" si="142"/>
      </c>
      <c r="K488" s="23">
        <f t="shared" si="149"/>
      </c>
      <c r="L488" s="29">
        <f t="shared" si="143"/>
      </c>
      <c r="M488" s="22">
        <f t="shared" si="144"/>
      </c>
      <c r="N488" s="23">
        <f t="shared" si="150"/>
      </c>
      <c r="O488" s="29">
        <f t="shared" si="151"/>
      </c>
      <c r="P488" s="22">
        <f t="shared" si="145"/>
      </c>
      <c r="Q488" s="23">
        <f t="shared" si="146"/>
      </c>
      <c r="R488" s="24">
        <f t="shared" si="147"/>
        <v>0</v>
      </c>
      <c r="S488" s="211">
        <f t="shared" si="136"/>
      </c>
      <c r="T488" s="39"/>
      <c r="AB488" s="136">
        <f t="shared" si="138"/>
      </c>
      <c r="AC488" s="136">
        <f t="shared" si="139"/>
      </c>
      <c r="AD488" s="136">
        <f t="shared" si="140"/>
      </c>
    </row>
    <row r="489" spans="6:30" ht="16.5" customHeight="1">
      <c r="F489" s="210">
        <f t="shared" si="141"/>
        <v>484</v>
      </c>
      <c r="G489" s="28">
        <f t="shared" si="137"/>
      </c>
      <c r="H489" s="29">
        <f t="shared" si="135"/>
      </c>
      <c r="I489" s="22">
        <f t="shared" si="148"/>
      </c>
      <c r="J489" s="30">
        <f t="shared" si="142"/>
      </c>
      <c r="K489" s="23">
        <f t="shared" si="149"/>
      </c>
      <c r="L489" s="29">
        <f t="shared" si="143"/>
      </c>
      <c r="M489" s="22">
        <f t="shared" si="144"/>
      </c>
      <c r="N489" s="23">
        <f t="shared" si="150"/>
      </c>
      <c r="O489" s="29">
        <f t="shared" si="151"/>
      </c>
      <c r="P489" s="22">
        <f t="shared" si="145"/>
      </c>
      <c r="Q489" s="23">
        <f t="shared" si="146"/>
      </c>
      <c r="R489" s="24">
        <f t="shared" si="147"/>
        <v>0</v>
      </c>
      <c r="S489" s="211">
        <f t="shared" si="136"/>
      </c>
      <c r="T489" s="39"/>
      <c r="AB489" s="136">
        <f t="shared" si="138"/>
      </c>
      <c r="AC489" s="136">
        <f t="shared" si="139"/>
      </c>
      <c r="AD489" s="136">
        <f t="shared" si="140"/>
      </c>
    </row>
    <row r="490" spans="6:30" ht="16.5" customHeight="1">
      <c r="F490" s="210">
        <f t="shared" si="141"/>
        <v>485</v>
      </c>
      <c r="G490" s="28">
        <f t="shared" si="137"/>
      </c>
      <c r="H490" s="29">
        <f t="shared" si="135"/>
      </c>
      <c r="I490" s="22">
        <f t="shared" si="148"/>
      </c>
      <c r="J490" s="30">
        <f t="shared" si="142"/>
      </c>
      <c r="K490" s="23">
        <f t="shared" si="149"/>
      </c>
      <c r="L490" s="29">
        <f t="shared" si="143"/>
      </c>
      <c r="M490" s="22">
        <f t="shared" si="144"/>
      </c>
      <c r="N490" s="23">
        <f t="shared" si="150"/>
      </c>
      <c r="O490" s="29">
        <f t="shared" si="151"/>
      </c>
      <c r="P490" s="22">
        <f t="shared" si="145"/>
      </c>
      <c r="Q490" s="23">
        <f t="shared" si="146"/>
      </c>
      <c r="R490" s="24">
        <f t="shared" si="147"/>
        <v>0</v>
      </c>
      <c r="S490" s="211">
        <f t="shared" si="136"/>
      </c>
      <c r="T490" s="39"/>
      <c r="AB490" s="136">
        <f t="shared" si="138"/>
      </c>
      <c r="AC490" s="136">
        <f t="shared" si="139"/>
      </c>
      <c r="AD490" s="136">
        <f t="shared" si="140"/>
      </c>
    </row>
    <row r="491" spans="6:30" ht="16.5" customHeight="1">
      <c r="F491" s="210">
        <f t="shared" si="141"/>
        <v>486</v>
      </c>
      <c r="G491" s="28">
        <f t="shared" si="137"/>
      </c>
      <c r="H491" s="29">
        <f t="shared" si="135"/>
      </c>
      <c r="I491" s="22">
        <f t="shared" si="148"/>
      </c>
      <c r="J491" s="30">
        <f t="shared" si="142"/>
      </c>
      <c r="K491" s="23">
        <f t="shared" si="149"/>
      </c>
      <c r="L491" s="29">
        <f t="shared" si="143"/>
      </c>
      <c r="M491" s="22">
        <f t="shared" si="144"/>
      </c>
      <c r="N491" s="23">
        <f t="shared" si="150"/>
      </c>
      <c r="O491" s="29">
        <f t="shared" si="151"/>
      </c>
      <c r="P491" s="22">
        <f t="shared" si="145"/>
      </c>
      <c r="Q491" s="23">
        <f t="shared" si="146"/>
      </c>
      <c r="R491" s="24">
        <f t="shared" si="147"/>
        <v>0</v>
      </c>
      <c r="S491" s="211">
        <f t="shared" si="136"/>
      </c>
      <c r="T491" s="39"/>
      <c r="AB491" s="136">
        <f t="shared" si="138"/>
      </c>
      <c r="AC491" s="136">
        <f t="shared" si="139"/>
      </c>
      <c r="AD491" s="136">
        <f t="shared" si="140"/>
      </c>
    </row>
    <row r="492" spans="6:30" ht="16.5" customHeight="1">
      <c r="F492" s="210">
        <f t="shared" si="141"/>
        <v>487</v>
      </c>
      <c r="G492" s="28">
        <f t="shared" si="137"/>
      </c>
      <c r="H492" s="29">
        <f t="shared" si="135"/>
      </c>
      <c r="I492" s="22">
        <f t="shared" si="148"/>
      </c>
      <c r="J492" s="30">
        <f t="shared" si="142"/>
      </c>
      <c r="K492" s="23">
        <f t="shared" si="149"/>
      </c>
      <c r="L492" s="29">
        <f t="shared" si="143"/>
      </c>
      <c r="M492" s="22">
        <f t="shared" si="144"/>
      </c>
      <c r="N492" s="23">
        <f t="shared" si="150"/>
      </c>
      <c r="O492" s="29">
        <f t="shared" si="151"/>
      </c>
      <c r="P492" s="22">
        <f t="shared" si="145"/>
      </c>
      <c r="Q492" s="23">
        <f t="shared" si="146"/>
      </c>
      <c r="R492" s="24">
        <f t="shared" si="147"/>
        <v>0</v>
      </c>
      <c r="S492" s="211">
        <f t="shared" si="136"/>
      </c>
      <c r="T492" s="39"/>
      <c r="AB492" s="136">
        <f t="shared" si="138"/>
      </c>
      <c r="AC492" s="136">
        <f t="shared" si="139"/>
      </c>
      <c r="AD492" s="136">
        <f t="shared" si="140"/>
      </c>
    </row>
    <row r="493" spans="6:30" ht="16.5" customHeight="1">
      <c r="F493" s="210">
        <f t="shared" si="141"/>
        <v>488</v>
      </c>
      <c r="G493" s="28">
        <f t="shared" si="137"/>
      </c>
      <c r="H493" s="29">
        <f t="shared" si="135"/>
      </c>
      <c r="I493" s="22">
        <f t="shared" si="148"/>
      </c>
      <c r="J493" s="30">
        <f t="shared" si="142"/>
      </c>
      <c r="K493" s="23">
        <f t="shared" si="149"/>
      </c>
      <c r="L493" s="29">
        <f t="shared" si="143"/>
      </c>
      <c r="M493" s="22">
        <f t="shared" si="144"/>
      </c>
      <c r="N493" s="23">
        <f t="shared" si="150"/>
      </c>
      <c r="O493" s="29">
        <f t="shared" si="151"/>
      </c>
      <c r="P493" s="22">
        <f t="shared" si="145"/>
      </c>
      <c r="Q493" s="23">
        <f t="shared" si="146"/>
      </c>
      <c r="R493" s="24">
        <f t="shared" si="147"/>
        <v>0</v>
      </c>
      <c r="S493" s="211">
        <f t="shared" si="136"/>
      </c>
      <c r="T493" s="39"/>
      <c r="AB493" s="136">
        <f t="shared" si="138"/>
      </c>
      <c r="AC493" s="136">
        <f t="shared" si="139"/>
      </c>
      <c r="AD493" s="136">
        <f t="shared" si="140"/>
      </c>
    </row>
    <row r="494" spans="6:30" ht="16.5" customHeight="1">
      <c r="F494" s="210">
        <f t="shared" si="141"/>
        <v>489</v>
      </c>
      <c r="G494" s="28">
        <f t="shared" si="137"/>
      </c>
      <c r="H494" s="29">
        <f t="shared" si="135"/>
      </c>
      <c r="I494" s="22">
        <f t="shared" si="148"/>
      </c>
      <c r="J494" s="30">
        <f t="shared" si="142"/>
      </c>
      <c r="K494" s="23">
        <f t="shared" si="149"/>
      </c>
      <c r="L494" s="29">
        <f t="shared" si="143"/>
      </c>
      <c r="M494" s="22">
        <f t="shared" si="144"/>
      </c>
      <c r="N494" s="23">
        <f t="shared" si="150"/>
      </c>
      <c r="O494" s="29">
        <f t="shared" si="151"/>
      </c>
      <c r="P494" s="22">
        <f t="shared" si="145"/>
      </c>
      <c r="Q494" s="23">
        <f t="shared" si="146"/>
      </c>
      <c r="R494" s="24">
        <f t="shared" si="147"/>
        <v>0</v>
      </c>
      <c r="S494" s="211">
        <f t="shared" si="136"/>
      </c>
      <c r="T494" s="39"/>
      <c r="AB494" s="136">
        <f t="shared" si="138"/>
      </c>
      <c r="AC494" s="136">
        <f t="shared" si="139"/>
      </c>
      <c r="AD494" s="136">
        <f t="shared" si="140"/>
      </c>
    </row>
    <row r="495" spans="6:30" ht="16.5" customHeight="1">
      <c r="F495" s="210">
        <f t="shared" si="141"/>
        <v>490</v>
      </c>
      <c r="G495" s="28">
        <f t="shared" si="137"/>
      </c>
      <c r="H495" s="29">
        <f t="shared" si="135"/>
      </c>
      <c r="I495" s="22">
        <f t="shared" si="148"/>
      </c>
      <c r="J495" s="30">
        <f t="shared" si="142"/>
      </c>
      <c r="K495" s="23">
        <f t="shared" si="149"/>
      </c>
      <c r="L495" s="29">
        <f t="shared" si="143"/>
      </c>
      <c r="M495" s="22">
        <f t="shared" si="144"/>
      </c>
      <c r="N495" s="23">
        <f t="shared" si="150"/>
      </c>
      <c r="O495" s="29">
        <f t="shared" si="151"/>
      </c>
      <c r="P495" s="22">
        <f t="shared" si="145"/>
      </c>
      <c r="Q495" s="23">
        <f t="shared" si="146"/>
      </c>
      <c r="R495" s="24">
        <f t="shared" si="147"/>
        <v>0</v>
      </c>
      <c r="S495" s="211">
        <f t="shared" si="136"/>
      </c>
      <c r="T495" s="39"/>
      <c r="AB495" s="136">
        <f t="shared" si="138"/>
      </c>
      <c r="AC495" s="136">
        <f t="shared" si="139"/>
      </c>
      <c r="AD495" s="136">
        <f t="shared" si="140"/>
      </c>
    </row>
    <row r="496" spans="6:30" ht="16.5" customHeight="1">
      <c r="F496" s="210">
        <f t="shared" si="141"/>
        <v>491</v>
      </c>
      <c r="G496" s="28">
        <f t="shared" si="137"/>
      </c>
      <c r="H496" s="29">
        <f t="shared" si="135"/>
      </c>
      <c r="I496" s="22">
        <f t="shared" si="148"/>
      </c>
      <c r="J496" s="30">
        <f t="shared" si="142"/>
      </c>
      <c r="K496" s="23">
        <f t="shared" si="149"/>
      </c>
      <c r="L496" s="29">
        <f t="shared" si="143"/>
      </c>
      <c r="M496" s="22">
        <f t="shared" si="144"/>
      </c>
      <c r="N496" s="23">
        <f t="shared" si="150"/>
      </c>
      <c r="O496" s="29">
        <f t="shared" si="151"/>
      </c>
      <c r="P496" s="22">
        <f t="shared" si="145"/>
      </c>
      <c r="Q496" s="23">
        <f t="shared" si="146"/>
      </c>
      <c r="R496" s="24">
        <f t="shared" si="147"/>
        <v>0</v>
      </c>
      <c r="S496" s="211">
        <f t="shared" si="136"/>
      </c>
      <c r="T496" s="39"/>
      <c r="AB496" s="136">
        <f t="shared" si="138"/>
      </c>
      <c r="AC496" s="136">
        <f t="shared" si="139"/>
      </c>
      <c r="AD496" s="136">
        <f t="shared" si="140"/>
      </c>
    </row>
    <row r="497" spans="6:30" ht="16.5" customHeight="1">
      <c r="F497" s="210">
        <f t="shared" si="141"/>
        <v>492</v>
      </c>
      <c r="G497" s="28">
        <f t="shared" si="137"/>
      </c>
      <c r="H497" s="29">
        <f t="shared" si="135"/>
      </c>
      <c r="I497" s="22">
        <f t="shared" si="148"/>
      </c>
      <c r="J497" s="30">
        <f t="shared" si="142"/>
      </c>
      <c r="K497" s="23">
        <f t="shared" si="149"/>
      </c>
      <c r="L497" s="29">
        <f t="shared" si="143"/>
      </c>
      <c r="M497" s="22">
        <f t="shared" si="144"/>
      </c>
      <c r="N497" s="23">
        <f t="shared" si="150"/>
      </c>
      <c r="O497" s="29">
        <f t="shared" si="151"/>
      </c>
      <c r="P497" s="22">
        <f t="shared" si="145"/>
      </c>
      <c r="Q497" s="23">
        <f t="shared" si="146"/>
      </c>
      <c r="R497" s="24">
        <f t="shared" si="147"/>
        <v>0</v>
      </c>
      <c r="S497" s="211">
        <f t="shared" si="136"/>
      </c>
      <c r="T497" s="39"/>
      <c r="AB497" s="136">
        <f t="shared" si="138"/>
      </c>
      <c r="AC497" s="136">
        <f t="shared" si="139"/>
      </c>
      <c r="AD497" s="136">
        <f t="shared" si="140"/>
      </c>
    </row>
    <row r="498" spans="6:30" ht="16.5" customHeight="1">
      <c r="F498" s="210">
        <f t="shared" si="141"/>
        <v>493</v>
      </c>
      <c r="G498" s="28">
        <f t="shared" si="137"/>
      </c>
      <c r="H498" s="29">
        <f t="shared" si="135"/>
      </c>
      <c r="I498" s="22">
        <f t="shared" si="148"/>
      </c>
      <c r="J498" s="30">
        <f t="shared" si="142"/>
      </c>
      <c r="K498" s="23">
        <f t="shared" si="149"/>
      </c>
      <c r="L498" s="29">
        <f t="shared" si="143"/>
      </c>
      <c r="M498" s="22">
        <f t="shared" si="144"/>
      </c>
      <c r="N498" s="23">
        <f t="shared" si="150"/>
      </c>
      <c r="O498" s="29">
        <f t="shared" si="151"/>
      </c>
      <c r="P498" s="22">
        <f t="shared" si="145"/>
      </c>
      <c r="Q498" s="23">
        <f t="shared" si="146"/>
      </c>
      <c r="R498" s="24">
        <f t="shared" si="147"/>
        <v>0</v>
      </c>
      <c r="S498" s="211">
        <f t="shared" si="136"/>
      </c>
      <c r="T498" s="39"/>
      <c r="AB498" s="136">
        <f t="shared" si="138"/>
      </c>
      <c r="AC498" s="136">
        <f t="shared" si="139"/>
      </c>
      <c r="AD498" s="136">
        <f t="shared" si="140"/>
      </c>
    </row>
    <row r="499" spans="6:30" ht="16.5" customHeight="1">
      <c r="F499" s="210">
        <f t="shared" si="141"/>
        <v>494</v>
      </c>
      <c r="G499" s="28">
        <f t="shared" si="137"/>
      </c>
      <c r="H499" s="29">
        <f t="shared" si="135"/>
      </c>
      <c r="I499" s="22">
        <f t="shared" si="148"/>
      </c>
      <c r="J499" s="30">
        <f t="shared" si="142"/>
      </c>
      <c r="K499" s="23">
        <f t="shared" si="149"/>
      </c>
      <c r="L499" s="29">
        <f t="shared" si="143"/>
      </c>
      <c r="M499" s="22">
        <f t="shared" si="144"/>
      </c>
      <c r="N499" s="23">
        <f t="shared" si="150"/>
      </c>
      <c r="O499" s="29">
        <f t="shared" si="151"/>
      </c>
      <c r="P499" s="22">
        <f t="shared" si="145"/>
      </c>
      <c r="Q499" s="23">
        <f t="shared" si="146"/>
      </c>
      <c r="R499" s="24">
        <f t="shared" si="147"/>
        <v>0</v>
      </c>
      <c r="S499" s="211">
        <f t="shared" si="136"/>
      </c>
      <c r="T499" s="39"/>
      <c r="AB499" s="136">
        <f t="shared" si="138"/>
      </c>
      <c r="AC499" s="136">
        <f t="shared" si="139"/>
      </c>
      <c r="AD499" s="136">
        <f t="shared" si="140"/>
      </c>
    </row>
    <row r="500" spans="6:30" ht="16.5" customHeight="1">
      <c r="F500" s="210">
        <f t="shared" si="141"/>
        <v>495</v>
      </c>
      <c r="G500" s="28">
        <f t="shared" si="137"/>
      </c>
      <c r="H500" s="29">
        <f t="shared" si="135"/>
      </c>
      <c r="I500" s="22">
        <f t="shared" si="148"/>
      </c>
      <c r="J500" s="30">
        <f t="shared" si="142"/>
      </c>
      <c r="K500" s="23">
        <f t="shared" si="149"/>
      </c>
      <c r="L500" s="29">
        <f t="shared" si="143"/>
      </c>
      <c r="M500" s="22">
        <f t="shared" si="144"/>
      </c>
      <c r="N500" s="23">
        <f t="shared" si="150"/>
      </c>
      <c r="O500" s="29">
        <f t="shared" si="151"/>
      </c>
      <c r="P500" s="22">
        <f t="shared" si="145"/>
      </c>
      <c r="Q500" s="23">
        <f t="shared" si="146"/>
      </c>
      <c r="R500" s="24">
        <f t="shared" si="147"/>
        <v>0</v>
      </c>
      <c r="S500" s="211">
        <f t="shared" si="136"/>
      </c>
      <c r="T500" s="39"/>
      <c r="AB500" s="136">
        <f t="shared" si="138"/>
      </c>
      <c r="AC500" s="136">
        <f t="shared" si="139"/>
      </c>
      <c r="AD500" s="136">
        <f t="shared" si="140"/>
      </c>
    </row>
    <row r="501" spans="6:30" ht="16.5" customHeight="1">
      <c r="F501" s="210">
        <f t="shared" si="141"/>
        <v>496</v>
      </c>
      <c r="G501" s="28">
        <f t="shared" si="137"/>
      </c>
      <c r="H501" s="29">
        <f t="shared" si="135"/>
      </c>
      <c r="I501" s="22">
        <f t="shared" si="148"/>
      </c>
      <c r="J501" s="30">
        <f t="shared" si="142"/>
      </c>
      <c r="K501" s="23">
        <f t="shared" si="149"/>
      </c>
      <c r="L501" s="29">
        <f t="shared" si="143"/>
      </c>
      <c r="M501" s="22">
        <f t="shared" si="144"/>
      </c>
      <c r="N501" s="23">
        <f t="shared" si="150"/>
      </c>
      <c r="O501" s="29">
        <f t="shared" si="151"/>
      </c>
      <c r="P501" s="22">
        <f t="shared" si="145"/>
      </c>
      <c r="Q501" s="23">
        <f t="shared" si="146"/>
      </c>
      <c r="R501" s="24">
        <f t="shared" si="147"/>
        <v>0</v>
      </c>
      <c r="S501" s="211">
        <f t="shared" si="136"/>
      </c>
      <c r="T501" s="39"/>
      <c r="AB501" s="136">
        <f t="shared" si="138"/>
      </c>
      <c r="AC501" s="136">
        <f t="shared" si="139"/>
      </c>
      <c r="AD501" s="136">
        <f t="shared" si="140"/>
      </c>
    </row>
    <row r="502" spans="6:30" ht="16.5" customHeight="1">
      <c r="F502" s="210">
        <f t="shared" si="141"/>
        <v>497</v>
      </c>
      <c r="G502" s="28">
        <f t="shared" si="137"/>
      </c>
      <c r="H502" s="29">
        <f t="shared" si="135"/>
      </c>
      <c r="I502" s="22">
        <f t="shared" si="148"/>
      </c>
      <c r="J502" s="30">
        <f t="shared" si="142"/>
      </c>
      <c r="K502" s="23">
        <f t="shared" si="149"/>
      </c>
      <c r="L502" s="29">
        <f>IF(L501="","",IF(AND(J502&gt;DATE(YEAR(D$27),MONTH(D$27)+1,0),J502&gt;D$11),"",IF(DAY(J502)&lt;&gt;D$25,DATE(YEAR(J502),MONTH(J502)+1,0),J502)))</f>
      </c>
      <c r="M502" s="22">
        <f>IF(L502="","",IF(AND(D$28&lt;&gt;0,L502&gt;D$28),D$29,M501))</f>
      </c>
      <c r="N502" s="23">
        <f t="shared" si="150"/>
      </c>
      <c r="O502" s="29">
        <f t="shared" si="151"/>
      </c>
      <c r="P502" s="22">
        <f t="shared" si="145"/>
      </c>
      <c r="Q502" s="23">
        <f t="shared" si="146"/>
      </c>
      <c r="R502" s="24">
        <f t="shared" si="147"/>
        <v>0</v>
      </c>
      <c r="S502" s="211">
        <f t="shared" si="136"/>
      </c>
      <c r="T502" s="39"/>
      <c r="AB502" s="136">
        <f t="shared" si="138"/>
      </c>
      <c r="AC502" s="136">
        <f t="shared" si="139"/>
      </c>
      <c r="AD502" s="136">
        <f t="shared" si="140"/>
      </c>
    </row>
    <row r="503" spans="6:30" ht="16.5" customHeight="1">
      <c r="F503" s="210">
        <f t="shared" si="141"/>
        <v>498</v>
      </c>
      <c r="G503" s="28">
        <f t="shared" si="137"/>
      </c>
      <c r="H503" s="29">
        <f>IF(H502="","",IF(G503&gt;DATE(YEAR(D$11),MONTH(D$11)+1,0),"",IF(DAY(G503)&lt;&gt;D$9,DATE(YEAR(G503),MONTH(G503)+1,0),G503)))</f>
      </c>
      <c r="I503" s="22">
        <f t="shared" si="148"/>
      </c>
      <c r="J503" s="30">
        <f t="shared" si="142"/>
      </c>
      <c r="K503" s="23">
        <f t="shared" si="149"/>
      </c>
      <c r="L503" s="29">
        <f>IF(L502="","",IF(AND(J503&gt;DATE(YEAR(D$27),MONTH(D$27)+1,0),J503&gt;D$11),"",IF(DAY(J503)&lt;&gt;D$25,DATE(YEAR(J503),MONTH(J503)+1,0),J503)))</f>
      </c>
      <c r="M503" s="22">
        <f>IF(L503="","",IF(AND(D$28&lt;&gt;0,L503&gt;D$28),D$29,M502))</f>
      </c>
      <c r="N503" s="23">
        <f t="shared" si="150"/>
      </c>
      <c r="O503" s="29">
        <f t="shared" si="151"/>
      </c>
      <c r="P503" s="22">
        <f t="shared" si="145"/>
      </c>
      <c r="Q503" s="23">
        <f t="shared" si="146"/>
      </c>
      <c r="R503" s="24">
        <f t="shared" si="147"/>
        <v>0</v>
      </c>
      <c r="S503" s="211">
        <f t="shared" si="136"/>
      </c>
      <c r="T503" s="39"/>
      <c r="AB503" s="136">
        <f t="shared" si="138"/>
      </c>
      <c r="AC503" s="136">
        <f t="shared" si="139"/>
      </c>
      <c r="AD503" s="136">
        <f t="shared" si="140"/>
      </c>
    </row>
    <row r="504" spans="6:30" ht="16.5" customHeight="1">
      <c r="F504" s="210">
        <f t="shared" si="141"/>
        <v>499</v>
      </c>
      <c r="G504" s="28">
        <f t="shared" si="137"/>
      </c>
      <c r="H504" s="29">
        <f>IF(H503="","",IF(G504&gt;DATE(YEAR(D$11),MONTH(D$11)+1,0),"",IF(DAY(G504)&lt;&gt;D$9,DATE(YEAR(G504),MONTH(G504)+1,0),G504)))</f>
      </c>
      <c r="I504" s="22">
        <f t="shared" si="148"/>
      </c>
      <c r="J504" s="30">
        <f t="shared" si="142"/>
      </c>
      <c r="K504" s="23">
        <f t="shared" si="149"/>
      </c>
      <c r="L504" s="29">
        <f>IF(L503="","",IF(AND(J504&gt;DATE(YEAR(D$27),MONTH(D$27)+1,0),J504&gt;D$11),"",IF(DAY(J504)&lt;&gt;D$25,DATE(YEAR(J504),MONTH(J504)+1,0),J504)))</f>
      </c>
      <c r="M504" s="22">
        <f>IF(L504="","",IF(AND(D$28&lt;&gt;0,L504&gt;D$28),D$29,M503))</f>
      </c>
      <c r="N504" s="23">
        <f t="shared" si="150"/>
      </c>
      <c r="O504" s="29">
        <f t="shared" si="151"/>
      </c>
      <c r="P504" s="22">
        <f t="shared" si="145"/>
      </c>
      <c r="Q504" s="23">
        <f t="shared" si="146"/>
      </c>
      <c r="R504" s="24">
        <f t="shared" si="147"/>
        <v>0</v>
      </c>
      <c r="S504" s="211">
        <f t="shared" si="136"/>
      </c>
      <c r="T504" s="39"/>
      <c r="AB504" s="136">
        <f t="shared" si="138"/>
      </c>
      <c r="AC504" s="136">
        <f t="shared" si="139"/>
      </c>
      <c r="AD504" s="136">
        <f t="shared" si="140"/>
      </c>
    </row>
    <row r="505" spans="6:30" ht="16.5" customHeight="1" thickBot="1">
      <c r="F505" s="212">
        <f t="shared" si="141"/>
        <v>500</v>
      </c>
      <c r="G505" s="21">
        <f t="shared" si="137"/>
      </c>
      <c r="H505" s="213">
        <f>IF(H504="","",IF(G505&gt;DATE(YEAR(D$11),MONTH(D$11)+1,0),"",IF(DAY(G505)&lt;&gt;D$9,DATE(YEAR(G505),MONTH(G505)+1,0),G505)))</f>
      </c>
      <c r="I505" s="214">
        <f t="shared" si="148"/>
      </c>
      <c r="J505" s="215">
        <f t="shared" si="142"/>
      </c>
      <c r="K505" s="216">
        <f t="shared" si="149"/>
      </c>
      <c r="L505" s="213">
        <f>IF(L504="","",IF(AND(J505&gt;DATE(YEAR(D$27),MONTH(D$27)+1,0),J505&gt;D$11),"",IF(DAY(J505)&lt;&gt;D$25,DATE(YEAR(J505),MONTH(J505)+1,0),J505)))</f>
      </c>
      <c r="M505" s="214">
        <f>IF(L505="","",IF(AND(D$28&lt;&gt;0,L505&gt;D$28),D$29,M504))</f>
      </c>
      <c r="N505" s="216">
        <f t="shared" si="150"/>
      </c>
      <c r="O505" s="213">
        <f t="shared" si="151"/>
      </c>
      <c r="P505" s="214">
        <f t="shared" si="145"/>
      </c>
      <c r="Q505" s="216">
        <f t="shared" si="146"/>
      </c>
      <c r="R505" s="217">
        <f t="shared" si="147"/>
        <v>0</v>
      </c>
      <c r="S505" s="218">
        <f t="shared" si="136"/>
      </c>
      <c r="T505" s="39"/>
      <c r="AB505" s="136">
        <f t="shared" si="138"/>
      </c>
      <c r="AC505" s="136">
        <f t="shared" si="139"/>
      </c>
      <c r="AD505" s="136">
        <f t="shared" si="140"/>
      </c>
    </row>
  </sheetData>
  <sheetProtection/>
  <mergeCells count="55">
    <mergeCell ref="B2:D3"/>
    <mergeCell ref="F2:S3"/>
    <mergeCell ref="V2:Z2"/>
    <mergeCell ref="V3:V4"/>
    <mergeCell ref="W3:W4"/>
    <mergeCell ref="X3:X4"/>
    <mergeCell ref="Y3:Y4"/>
    <mergeCell ref="F4:F5"/>
    <mergeCell ref="H4:H5"/>
    <mergeCell ref="I4:I5"/>
    <mergeCell ref="L4:L5"/>
    <mergeCell ref="M4:M5"/>
    <mergeCell ref="O4:O5"/>
    <mergeCell ref="P4:P5"/>
    <mergeCell ref="R4:R5"/>
    <mergeCell ref="S4:S5"/>
    <mergeCell ref="B5:D5"/>
    <mergeCell ref="B6:C6"/>
    <mergeCell ref="B7:C7"/>
    <mergeCell ref="B8:C8"/>
    <mergeCell ref="B9:C9"/>
    <mergeCell ref="B10:C11"/>
    <mergeCell ref="B12:B13"/>
    <mergeCell ref="B14:C14"/>
    <mergeCell ref="B15:C15"/>
    <mergeCell ref="B16:C16"/>
    <mergeCell ref="B17:C17"/>
    <mergeCell ref="B18:C18"/>
    <mergeCell ref="B19:C19"/>
    <mergeCell ref="B21:D21"/>
    <mergeCell ref="B22:C22"/>
    <mergeCell ref="B23:C23"/>
    <mergeCell ref="B24:C24"/>
    <mergeCell ref="B25:C25"/>
    <mergeCell ref="B26:C27"/>
    <mergeCell ref="B28:B29"/>
    <mergeCell ref="B30:C30"/>
    <mergeCell ref="B31:C31"/>
    <mergeCell ref="B32:C32"/>
    <mergeCell ref="B33:C33"/>
    <mergeCell ref="B34:C34"/>
    <mergeCell ref="B35:C35"/>
    <mergeCell ref="B37:D37"/>
    <mergeCell ref="B38:C38"/>
    <mergeCell ref="B39:C39"/>
    <mergeCell ref="B40:C40"/>
    <mergeCell ref="B49:C49"/>
    <mergeCell ref="B50:C50"/>
    <mergeCell ref="B51:C51"/>
    <mergeCell ref="B41:C41"/>
    <mergeCell ref="B42:C43"/>
    <mergeCell ref="B44:B45"/>
    <mergeCell ref="B46:C46"/>
    <mergeCell ref="B47:C47"/>
    <mergeCell ref="B48:C48"/>
  </mergeCells>
  <dataValidations count="3">
    <dataValidation type="list" allowBlank="1" showInputMessage="1" showErrorMessage="1" sqref="D42">
      <formula1>$B$46:$B$51</formula1>
    </dataValidation>
    <dataValidation type="list" allowBlank="1" showInputMessage="1" showErrorMessage="1" sqref="D10">
      <formula1>$B$15:$B$19</formula1>
    </dataValidation>
    <dataValidation type="list" allowBlank="1" showInputMessage="1" showErrorMessage="1" sqref="D26">
      <formula1>$B$30:$B$35</formula1>
    </dataValidation>
  </dataValidations>
  <printOptions/>
  <pageMargins left="0.1968503937007874" right="0.1968503937007874" top="0.3937007874015748" bottom="0.31496062992125984" header="0.1968503937007874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74" bestFit="1" customWidth="1"/>
    <col min="2" max="2" width="21.7109375" style="174" bestFit="1" customWidth="1"/>
    <col min="3" max="3" width="3.140625" style="174" customWidth="1"/>
    <col min="4" max="4" width="11.57421875" style="174" bestFit="1" customWidth="1"/>
    <col min="5" max="5" width="21.7109375" style="174" bestFit="1" customWidth="1"/>
    <col min="6" max="6" width="3.140625" style="174" customWidth="1"/>
    <col min="7" max="7" width="11.57421875" style="174" bestFit="1" customWidth="1"/>
    <col min="8" max="8" width="10.421875" style="174" bestFit="1" customWidth="1"/>
    <col min="9" max="9" width="3.421875" style="174" bestFit="1" customWidth="1"/>
    <col min="10" max="12" width="9.00390625" style="174" customWidth="1"/>
    <col min="13" max="13" width="3.421875" style="174" hidden="1" customWidth="1"/>
    <col min="14" max="14" width="9.28125" style="174" hidden="1" customWidth="1"/>
    <col min="15" max="15" width="6.421875" style="174" hidden="1" customWidth="1"/>
    <col min="16" max="16" width="9.00390625" style="174" hidden="1" customWidth="1"/>
    <col min="17" max="17" width="3.421875" style="174" hidden="1" customWidth="1"/>
    <col min="18" max="18" width="9.28125" style="174" hidden="1" customWidth="1"/>
    <col min="19" max="19" width="5.421875" style="174" hidden="1" customWidth="1"/>
    <col min="20" max="20" width="2.421875" style="174" hidden="1" customWidth="1"/>
    <col min="21" max="21" width="9.421875" style="174" hidden="1" customWidth="1"/>
    <col min="22" max="22" width="6.421875" style="174" hidden="1" customWidth="1"/>
    <col min="23" max="16384" width="9.00390625" style="174" customWidth="1"/>
  </cols>
  <sheetData>
    <row r="1" spans="1:19" ht="15.75" customHeight="1">
      <c r="A1" s="181"/>
      <c r="B1" s="644" t="s">
        <v>21</v>
      </c>
      <c r="C1" s="644"/>
      <c r="D1" s="644"/>
      <c r="E1" s="644"/>
      <c r="F1" s="644"/>
      <c r="G1" s="644"/>
      <c r="N1" s="175" t="s">
        <v>162</v>
      </c>
      <c r="O1" s="176">
        <v>1</v>
      </c>
      <c r="P1" s="642" t="str">
        <f>CHOOSE(O1,"事業所得者","給与所得者","")</f>
        <v>事業所得者</v>
      </c>
      <c r="Q1" s="642"/>
      <c r="R1" s="642"/>
      <c r="S1" s="642"/>
    </row>
    <row r="2" spans="2:19" ht="15.75" customHeight="1" thickBot="1">
      <c r="B2" s="174" t="s">
        <v>23</v>
      </c>
      <c r="N2" s="175" t="s">
        <v>163</v>
      </c>
      <c r="O2" s="643">
        <f>C5</f>
        <v>5750000</v>
      </c>
      <c r="P2" s="541"/>
      <c r="Q2" s="541"/>
      <c r="R2" s="541"/>
      <c r="S2" s="541"/>
    </row>
    <row r="3" spans="2:19" ht="31.5" customHeight="1" thickBot="1">
      <c r="B3" s="655" t="s">
        <v>378</v>
      </c>
      <c r="C3" s="656"/>
      <c r="D3" s="657"/>
      <c r="E3" s="655" t="s">
        <v>379</v>
      </c>
      <c r="F3" s="656"/>
      <c r="G3" s="657"/>
      <c r="N3" s="174">
        <f>IF(INT(O2/10000)&lt;N$12,O$12,IF(INT(O2/10000)&lt;N$13,O$13,IF(INT(O2/10000)&lt;N$14,O$14,IF(INT(O2/10000)&lt;N$15,O$15,IF(INT(O2/10000)&lt;N$16,O$16,IF(INT(O2/10000)&lt;N$17,O$17,IF(INT(O2/10000)&lt;N$18,O$18,O$19)))))))</f>
        <v>0.54</v>
      </c>
      <c r="O3" s="541">
        <f>MIN(N3:N4)</f>
        <v>0.53</v>
      </c>
      <c r="P3" s="541"/>
      <c r="Q3" s="541"/>
      <c r="R3" s="541"/>
      <c r="S3" s="541"/>
    </row>
    <row r="4" spans="2:19" ht="15.75" customHeight="1">
      <c r="B4" s="240" t="s">
        <v>380</v>
      </c>
      <c r="C4" s="241">
        <v>2</v>
      </c>
      <c r="D4" s="242" t="str">
        <f>IF(C4="","",CHOOSE(C4,"自営業者","給与所得者","年金受給者","無職"))</f>
        <v>給与所得者</v>
      </c>
      <c r="E4" s="243" t="s">
        <v>382</v>
      </c>
      <c r="F4" s="241">
        <v>2</v>
      </c>
      <c r="G4" s="242" t="str">
        <f>IF(F4="","",CHOOSE(F4,"自営業者","給与所得者","年金受給者","無職"))</f>
        <v>給与所得者</v>
      </c>
      <c r="N4" s="174">
        <f>IF(INT(O2/10000)&lt;N$19,O$19,IF(INT(O2/10000)&lt;N$20,O$20,IF(INT(O2/10000)&lt;N$21,O$21,IF(INT(O2/10000)&lt;N$22,O$22,IF(INT(O2/10000)&lt;N$23,O$23,IF(INT(O2/10000)&lt;N$24,O$24,O$25))))))</f>
        <v>0.53</v>
      </c>
      <c r="O4" s="541">
        <f>VLOOKUP((INT(O2/50000))*50000,U11:V440,2,0)</f>
        <v>0.41</v>
      </c>
      <c r="P4" s="541"/>
      <c r="Q4" s="541"/>
      <c r="R4" s="541"/>
      <c r="S4" s="541"/>
    </row>
    <row r="5" spans="2:19" ht="15.75" customHeight="1">
      <c r="B5" s="240" t="s">
        <v>381</v>
      </c>
      <c r="C5" s="653">
        <v>5750000</v>
      </c>
      <c r="D5" s="654"/>
      <c r="E5" s="243" t="s">
        <v>381</v>
      </c>
      <c r="F5" s="653">
        <v>3000000</v>
      </c>
      <c r="G5" s="654"/>
      <c r="O5" s="177"/>
      <c r="P5" s="177"/>
      <c r="Q5" s="177"/>
      <c r="R5" s="177"/>
      <c r="S5" s="177"/>
    </row>
    <row r="6" spans="2:19" ht="15.75" customHeight="1">
      <c r="B6" s="244" t="s">
        <v>383</v>
      </c>
      <c r="C6" s="645">
        <v>0</v>
      </c>
      <c r="D6" s="645"/>
      <c r="E6" s="244" t="s">
        <v>383</v>
      </c>
      <c r="F6" s="645">
        <v>0</v>
      </c>
      <c r="G6" s="645"/>
      <c r="N6" s="175" t="s">
        <v>162</v>
      </c>
      <c r="O6" s="176">
        <v>1</v>
      </c>
      <c r="P6" s="642" t="str">
        <f>CHOOSE(O6,"事業所得者","給与所得者","")</f>
        <v>事業所得者</v>
      </c>
      <c r="Q6" s="642"/>
      <c r="R6" s="642"/>
      <c r="S6" s="642"/>
    </row>
    <row r="7" spans="2:19" ht="15.75" customHeight="1" thickBot="1">
      <c r="B7" s="245" t="s">
        <v>384</v>
      </c>
      <c r="C7" s="646">
        <v>0</v>
      </c>
      <c r="D7" s="646"/>
      <c r="E7" s="245" t="s">
        <v>384</v>
      </c>
      <c r="F7" s="646">
        <v>1</v>
      </c>
      <c r="G7" s="646"/>
      <c r="J7" s="178"/>
      <c r="N7" s="175" t="s">
        <v>163</v>
      </c>
      <c r="O7" s="643">
        <f>F5</f>
        <v>3000000</v>
      </c>
      <c r="P7" s="541"/>
      <c r="Q7" s="541"/>
      <c r="R7" s="541"/>
      <c r="S7" s="541"/>
    </row>
    <row r="8" spans="2:19" ht="15.75" customHeight="1">
      <c r="B8" s="246" t="s">
        <v>388</v>
      </c>
      <c r="C8" s="648">
        <f>IF(OR(C4="",C5=""),"",IF(C4=1,C5*O3,C5*O4))</f>
        <v>2357500</v>
      </c>
      <c r="D8" s="649"/>
      <c r="E8" s="247" t="s">
        <v>387</v>
      </c>
      <c r="F8" s="648">
        <f>IF(OR(F4="",F5=""),0,IF(F4=1,F5*O8,F5*O9))</f>
        <v>1260000</v>
      </c>
      <c r="G8" s="649"/>
      <c r="H8" s="252">
        <f>C8+F8</f>
        <v>3617500</v>
      </c>
      <c r="N8" s="174">
        <f>IF(INT(O7/10000)&lt;N$12,O$12,IF(INT(O7/10000)&lt;N$13,O$13,IF(INT(O7/10000)&lt;N$14,O$14,IF(INT(O7/10000)&lt;N$15,O$15,IF(INT(O7/10000)&lt;N$16,O$16,IF(INT(O7/10000)&lt;N$17,O$17,IF(INT(O7/10000)&lt;N$18,O$18,O$19)))))))</f>
        <v>0.57</v>
      </c>
      <c r="O8" s="541">
        <f>MIN(N8:N9)</f>
        <v>0.54</v>
      </c>
      <c r="P8" s="541"/>
      <c r="Q8" s="541"/>
      <c r="R8" s="541"/>
      <c r="S8" s="541"/>
    </row>
    <row r="9" spans="2:19" ht="15.75" customHeight="1">
      <c r="B9" s="248" t="s">
        <v>392</v>
      </c>
      <c r="C9" s="647">
        <f>62*C6</f>
        <v>0</v>
      </c>
      <c r="D9" s="647"/>
      <c r="E9" s="249" t="s">
        <v>392</v>
      </c>
      <c r="F9" s="647">
        <f>62*F6</f>
        <v>0</v>
      </c>
      <c r="G9" s="647"/>
      <c r="H9" s="253" t="s">
        <v>389</v>
      </c>
      <c r="N9" s="174">
        <f>IF(INT(O7/10000)&lt;N$19,O$19,IF(INT(O7/10000)&lt;N$20,O$20,IF(INT(O7/10000)&lt;N$21,O$21,IF(INT(O7/10000)&lt;N$22,O$22,IF(INT(O7/10000)&lt;N$23,O$23,IF(INT(O7/10000)&lt;N$24,O$24,O$25))))))</f>
        <v>0.54</v>
      </c>
      <c r="O9" s="541">
        <f>VLOOKUP(INT(O7/50000+1)*50000,U11:V440,2,0)</f>
        <v>0.42</v>
      </c>
      <c r="P9" s="541"/>
      <c r="Q9" s="541"/>
      <c r="R9" s="541"/>
      <c r="S9" s="541"/>
    </row>
    <row r="10" spans="2:8" ht="15.75" customHeight="1">
      <c r="B10" s="248" t="s">
        <v>393</v>
      </c>
      <c r="C10" s="647">
        <f>85*C7</f>
        <v>0</v>
      </c>
      <c r="D10" s="647"/>
      <c r="E10" s="249" t="s">
        <v>393</v>
      </c>
      <c r="F10" s="647">
        <f>85*F7</f>
        <v>85</v>
      </c>
      <c r="G10" s="647"/>
      <c r="H10" s="254" t="s">
        <v>390</v>
      </c>
    </row>
    <row r="11" spans="2:22" ht="15.75" customHeight="1">
      <c r="B11" s="248" t="s">
        <v>385</v>
      </c>
      <c r="C11" s="647">
        <v>100</v>
      </c>
      <c r="D11" s="647"/>
      <c r="E11" s="249" t="s">
        <v>386</v>
      </c>
      <c r="F11" s="647">
        <v>100</v>
      </c>
      <c r="G11" s="647"/>
      <c r="H11" s="254" t="s">
        <v>391</v>
      </c>
      <c r="M11" s="639" t="s">
        <v>159</v>
      </c>
      <c r="N11" s="639"/>
      <c r="O11" s="639"/>
      <c r="P11" s="179"/>
      <c r="Q11" s="639" t="s">
        <v>160</v>
      </c>
      <c r="R11" s="639"/>
      <c r="S11" s="639"/>
      <c r="U11" s="78">
        <v>50000</v>
      </c>
      <c r="V11" s="78">
        <v>0.54</v>
      </c>
    </row>
    <row r="12" spans="2:22" ht="15.75" customHeight="1" thickBot="1">
      <c r="B12" s="250"/>
      <c r="C12" s="640">
        <f>SUM(C9:D11)</f>
        <v>100</v>
      </c>
      <c r="D12" s="641"/>
      <c r="E12" s="251"/>
      <c r="F12" s="641">
        <f>SUM(F9:G11)</f>
        <v>185</v>
      </c>
      <c r="G12" s="641"/>
      <c r="H12" s="253">
        <f>INT(H8*(F12/(C12+F12)))</f>
        <v>2348201</v>
      </c>
      <c r="M12" s="83" t="s">
        <v>161</v>
      </c>
      <c r="N12" s="82">
        <v>66</v>
      </c>
      <c r="O12" s="219">
        <v>0.61</v>
      </c>
      <c r="P12" s="179"/>
      <c r="Q12" s="83" t="s">
        <v>161</v>
      </c>
      <c r="R12" s="82">
        <v>100</v>
      </c>
      <c r="S12" s="84">
        <v>0.54</v>
      </c>
      <c r="U12" s="78">
        <v>100000</v>
      </c>
      <c r="V12" s="78">
        <v>0.54</v>
      </c>
    </row>
    <row r="13" spans="2:22" ht="15.75" customHeight="1">
      <c r="B13" s="671" t="s">
        <v>394</v>
      </c>
      <c r="C13" s="672"/>
      <c r="D13" s="673"/>
      <c r="E13" s="677">
        <f>H12-F8</f>
        <v>1088201</v>
      </c>
      <c r="F13" s="678"/>
      <c r="G13" s="678"/>
      <c r="H13" s="679"/>
      <c r="M13" s="83" t="s">
        <v>161</v>
      </c>
      <c r="N13" s="82">
        <v>82</v>
      </c>
      <c r="O13" s="219">
        <v>0.6</v>
      </c>
      <c r="P13" s="179"/>
      <c r="Q13" s="83" t="s">
        <v>161</v>
      </c>
      <c r="R13" s="82">
        <v>125</v>
      </c>
      <c r="S13" s="84">
        <v>0.52</v>
      </c>
      <c r="U13" s="78">
        <v>150000</v>
      </c>
      <c r="V13" s="78">
        <v>0.54</v>
      </c>
    </row>
    <row r="14" spans="2:22" ht="15.75" customHeight="1" thickBot="1">
      <c r="B14" s="674"/>
      <c r="C14" s="675"/>
      <c r="D14" s="676"/>
      <c r="E14" s="680"/>
      <c r="F14" s="681"/>
      <c r="G14" s="681"/>
      <c r="H14" s="682"/>
      <c r="M14" s="83" t="s">
        <v>161</v>
      </c>
      <c r="N14" s="82">
        <v>98</v>
      </c>
      <c r="O14" s="219">
        <v>0.59</v>
      </c>
      <c r="P14" s="179"/>
      <c r="Q14" s="83" t="s">
        <v>161</v>
      </c>
      <c r="R14" s="82">
        <v>150</v>
      </c>
      <c r="S14" s="84">
        <v>0.5</v>
      </c>
      <c r="U14" s="78">
        <v>200000</v>
      </c>
      <c r="V14" s="78">
        <v>0.54</v>
      </c>
    </row>
    <row r="15" spans="13:22" ht="15.75" customHeight="1">
      <c r="M15" s="83" t="s">
        <v>161</v>
      </c>
      <c r="N15" s="82">
        <v>256</v>
      </c>
      <c r="O15" s="219">
        <v>0.58</v>
      </c>
      <c r="P15" s="179"/>
      <c r="Q15" s="83" t="s">
        <v>161</v>
      </c>
      <c r="R15" s="82">
        <v>250</v>
      </c>
      <c r="S15" s="84">
        <v>0.48</v>
      </c>
      <c r="U15" s="78">
        <v>250000</v>
      </c>
      <c r="V15" s="78">
        <v>0.54</v>
      </c>
    </row>
    <row r="16" spans="2:22" ht="13.5" customHeight="1">
      <c r="B16" s="658">
        <f ca="1">TODAY()</f>
        <v>45265</v>
      </c>
      <c r="C16" s="658"/>
      <c r="D16" s="658"/>
      <c r="E16" s="658"/>
      <c r="F16" s="658"/>
      <c r="G16" s="658"/>
      <c r="M16" s="83" t="s">
        <v>161</v>
      </c>
      <c r="N16" s="82">
        <v>349</v>
      </c>
      <c r="O16" s="219">
        <v>0.57</v>
      </c>
      <c r="P16" s="179"/>
      <c r="Q16" s="83" t="s">
        <v>161</v>
      </c>
      <c r="R16" s="82">
        <v>500</v>
      </c>
      <c r="S16" s="84">
        <v>0.46</v>
      </c>
      <c r="U16" s="78">
        <v>300000</v>
      </c>
      <c r="V16" s="78">
        <v>0.54</v>
      </c>
    </row>
    <row r="17" spans="2:22" ht="13.5" customHeight="1" thickBot="1">
      <c r="B17" s="658"/>
      <c r="C17" s="658"/>
      <c r="D17" s="658"/>
      <c r="E17" s="658"/>
      <c r="F17" s="658"/>
      <c r="G17" s="658"/>
      <c r="M17" s="83" t="s">
        <v>161</v>
      </c>
      <c r="N17" s="82">
        <v>392</v>
      </c>
      <c r="O17" s="219">
        <v>0.56</v>
      </c>
      <c r="P17" s="179"/>
      <c r="Q17" s="83" t="s">
        <v>161</v>
      </c>
      <c r="R17" s="82">
        <v>700</v>
      </c>
      <c r="S17" s="84">
        <v>0.44</v>
      </c>
      <c r="U17" s="78">
        <v>350000</v>
      </c>
      <c r="V17" s="78">
        <v>0.54</v>
      </c>
    </row>
    <row r="18" spans="2:22" ht="13.5" customHeight="1">
      <c r="B18" s="659" t="s">
        <v>25</v>
      </c>
      <c r="C18" s="660"/>
      <c r="D18" s="660"/>
      <c r="E18" s="660"/>
      <c r="F18" s="660"/>
      <c r="G18" s="661"/>
      <c r="M18" s="83" t="s">
        <v>161</v>
      </c>
      <c r="N18" s="82">
        <v>496</v>
      </c>
      <c r="O18" s="219">
        <v>0.55</v>
      </c>
      <c r="P18" s="179"/>
      <c r="Q18" s="83" t="s">
        <v>161</v>
      </c>
      <c r="R18" s="82">
        <v>850</v>
      </c>
      <c r="S18" s="84">
        <v>0.42</v>
      </c>
      <c r="U18" s="78">
        <v>400000</v>
      </c>
      <c r="V18" s="78">
        <v>0.54</v>
      </c>
    </row>
    <row r="19" spans="2:22" ht="13.5" customHeight="1">
      <c r="B19" s="662"/>
      <c r="C19" s="663"/>
      <c r="D19" s="663"/>
      <c r="E19" s="663"/>
      <c r="F19" s="663"/>
      <c r="G19" s="664"/>
      <c r="M19" s="83" t="s">
        <v>161</v>
      </c>
      <c r="N19" s="82">
        <v>563</v>
      </c>
      <c r="O19" s="219">
        <v>0.54</v>
      </c>
      <c r="P19" s="179"/>
      <c r="Q19" s="83" t="s">
        <v>161</v>
      </c>
      <c r="R19" s="82">
        <v>1350</v>
      </c>
      <c r="S19" s="84">
        <v>0.4</v>
      </c>
      <c r="U19" s="78">
        <v>450000</v>
      </c>
      <c r="V19" s="78">
        <v>0.54</v>
      </c>
    </row>
    <row r="20" spans="2:22" ht="13.5" customHeight="1">
      <c r="B20" s="662"/>
      <c r="C20" s="663"/>
      <c r="D20" s="663"/>
      <c r="E20" s="663"/>
      <c r="F20" s="663"/>
      <c r="G20" s="664"/>
      <c r="M20" s="83" t="s">
        <v>161</v>
      </c>
      <c r="N20" s="82">
        <v>784</v>
      </c>
      <c r="O20" s="219">
        <v>0.53</v>
      </c>
      <c r="P20" s="179"/>
      <c r="Q20" s="83" t="s">
        <v>161</v>
      </c>
      <c r="R20" s="82">
        <v>2000</v>
      </c>
      <c r="S20" s="84">
        <v>0.38</v>
      </c>
      <c r="U20" s="78">
        <v>500000</v>
      </c>
      <c r="V20" s="78">
        <v>0.54</v>
      </c>
    </row>
    <row r="21" spans="2:22" ht="13.5" customHeight="1">
      <c r="B21" s="665" t="s">
        <v>31</v>
      </c>
      <c r="C21" s="666"/>
      <c r="D21" s="666"/>
      <c r="E21" s="666"/>
      <c r="F21" s="666"/>
      <c r="G21" s="667"/>
      <c r="M21" s="83" t="s">
        <v>161</v>
      </c>
      <c r="N21" s="82">
        <v>942</v>
      </c>
      <c r="O21" s="219">
        <v>0.52</v>
      </c>
      <c r="U21" s="78">
        <v>550000</v>
      </c>
      <c r="V21" s="78">
        <v>0.54</v>
      </c>
    </row>
    <row r="22" spans="2:22" ht="13.5" customHeight="1">
      <c r="B22" s="665"/>
      <c r="C22" s="666"/>
      <c r="D22" s="666"/>
      <c r="E22" s="666"/>
      <c r="F22" s="666"/>
      <c r="G22" s="667"/>
      <c r="M22" s="83" t="s">
        <v>161</v>
      </c>
      <c r="N22" s="82">
        <v>1046</v>
      </c>
      <c r="O22" s="219">
        <v>0.51</v>
      </c>
      <c r="U22" s="78">
        <v>600000</v>
      </c>
      <c r="V22" s="78">
        <v>0.54</v>
      </c>
    </row>
    <row r="23" spans="2:22" ht="13.5" customHeight="1">
      <c r="B23" s="668">
        <f>INT(E13/12)</f>
        <v>90683</v>
      </c>
      <c r="C23" s="669"/>
      <c r="D23" s="669"/>
      <c r="E23" s="669"/>
      <c r="F23" s="669"/>
      <c r="G23" s="670"/>
      <c r="M23" s="83" t="s">
        <v>161</v>
      </c>
      <c r="N23" s="82">
        <v>1179</v>
      </c>
      <c r="O23" s="219">
        <v>0.5</v>
      </c>
      <c r="U23" s="78">
        <v>650000</v>
      </c>
      <c r="V23" s="78">
        <v>0.54</v>
      </c>
    </row>
    <row r="24" spans="2:22" ht="13.5" customHeight="1">
      <c r="B24" s="668"/>
      <c r="C24" s="669"/>
      <c r="D24" s="669"/>
      <c r="E24" s="669"/>
      <c r="F24" s="669"/>
      <c r="G24" s="670"/>
      <c r="M24" s="83" t="s">
        <v>161</v>
      </c>
      <c r="N24" s="82">
        <v>1482</v>
      </c>
      <c r="O24" s="219">
        <v>0.49</v>
      </c>
      <c r="U24" s="78">
        <v>700000</v>
      </c>
      <c r="V24" s="78">
        <v>0.54</v>
      </c>
    </row>
    <row r="25" spans="2:22" ht="13.5" customHeight="1">
      <c r="B25" s="668"/>
      <c r="C25" s="669"/>
      <c r="D25" s="669"/>
      <c r="E25" s="669"/>
      <c r="F25" s="669"/>
      <c r="G25" s="670"/>
      <c r="M25" s="83" t="s">
        <v>161</v>
      </c>
      <c r="N25" s="82">
        <v>1567</v>
      </c>
      <c r="O25" s="219">
        <v>0.48</v>
      </c>
      <c r="U25" s="78">
        <v>750000</v>
      </c>
      <c r="V25" s="78">
        <v>0.54</v>
      </c>
    </row>
    <row r="26" spans="2:22" ht="13.5" customHeight="1" thickBot="1">
      <c r="B26" s="650"/>
      <c r="C26" s="651"/>
      <c r="D26" s="651"/>
      <c r="E26" s="651"/>
      <c r="F26" s="651"/>
      <c r="G26" s="652"/>
      <c r="U26" s="78">
        <v>800000</v>
      </c>
      <c r="V26" s="78">
        <v>0.5</v>
      </c>
    </row>
    <row r="27" spans="21:22" ht="13.5" customHeight="1">
      <c r="U27" s="78">
        <v>850000</v>
      </c>
      <c r="V27" s="78">
        <v>0.5</v>
      </c>
    </row>
    <row r="28" spans="21:22" ht="13.5" customHeight="1">
      <c r="U28" s="78">
        <v>900000</v>
      </c>
      <c r="V28" s="78">
        <v>0.5</v>
      </c>
    </row>
    <row r="29" spans="21:22" ht="13.5" customHeight="1">
      <c r="U29" s="78">
        <v>950000</v>
      </c>
      <c r="V29" s="78">
        <v>0.5</v>
      </c>
    </row>
    <row r="30" spans="21:22" ht="13.5" customHeight="1">
      <c r="U30" s="78">
        <v>1000000</v>
      </c>
      <c r="V30" s="78">
        <v>0.5</v>
      </c>
    </row>
    <row r="31" spans="21:22" ht="13.5" customHeight="1">
      <c r="U31" s="78">
        <v>1050000</v>
      </c>
      <c r="V31" s="78">
        <v>0.46</v>
      </c>
    </row>
    <row r="32" spans="21:22" ht="13.5">
      <c r="U32" s="78">
        <v>1100000</v>
      </c>
      <c r="V32" s="78">
        <v>0.46</v>
      </c>
    </row>
    <row r="33" spans="21:22" ht="13.5">
      <c r="U33" s="78">
        <v>1150000</v>
      </c>
      <c r="V33" s="78">
        <v>0.46</v>
      </c>
    </row>
    <row r="34" spans="21:22" ht="13.5">
      <c r="U34" s="78">
        <v>1200000</v>
      </c>
      <c r="V34" s="78">
        <v>0.46</v>
      </c>
    </row>
    <row r="35" spans="21:22" ht="13.5">
      <c r="U35" s="78">
        <v>1250000</v>
      </c>
      <c r="V35" s="78">
        <v>0.46</v>
      </c>
    </row>
    <row r="36" spans="21:22" ht="13.5">
      <c r="U36" s="78">
        <v>1300000</v>
      </c>
      <c r="V36" s="78">
        <v>0.44</v>
      </c>
    </row>
    <row r="37" spans="21:22" ht="13.5">
      <c r="U37" s="78">
        <v>1350000</v>
      </c>
      <c r="V37" s="78">
        <v>0.44</v>
      </c>
    </row>
    <row r="38" spans="21:22" ht="13.5">
      <c r="U38" s="78">
        <v>1400000</v>
      </c>
      <c r="V38" s="78">
        <v>0.44</v>
      </c>
    </row>
    <row r="39" spans="21:22" ht="13.5">
      <c r="U39" s="78">
        <v>1450000</v>
      </c>
      <c r="V39" s="78">
        <v>0.44</v>
      </c>
    </row>
    <row r="40" spans="21:22" ht="13.5">
      <c r="U40" s="78">
        <v>1500000</v>
      </c>
      <c r="V40" s="78">
        <v>0.44</v>
      </c>
    </row>
    <row r="41" spans="21:22" ht="13.5">
      <c r="U41" s="78">
        <v>1550000</v>
      </c>
      <c r="V41" s="78">
        <v>0.44</v>
      </c>
    </row>
    <row r="42" spans="21:22" ht="13.5">
      <c r="U42" s="78">
        <v>1600000</v>
      </c>
      <c r="V42" s="78">
        <v>0.44</v>
      </c>
    </row>
    <row r="43" spans="21:22" ht="13.5">
      <c r="U43" s="78">
        <v>1650000</v>
      </c>
      <c r="V43" s="78">
        <v>0.44</v>
      </c>
    </row>
    <row r="44" spans="21:22" ht="13.5">
      <c r="U44" s="78">
        <v>1700000</v>
      </c>
      <c r="V44" s="78">
        <v>0.44</v>
      </c>
    </row>
    <row r="45" spans="21:22" ht="13.5">
      <c r="U45" s="78">
        <v>1750000</v>
      </c>
      <c r="V45" s="78">
        <v>0.44</v>
      </c>
    </row>
    <row r="46" spans="21:22" ht="13.5">
      <c r="U46" s="78">
        <v>1800000</v>
      </c>
      <c r="V46" s="78">
        <v>0.43</v>
      </c>
    </row>
    <row r="47" spans="21:22" ht="13.5">
      <c r="U47" s="78">
        <v>1850000</v>
      </c>
      <c r="V47" s="78">
        <v>0.43</v>
      </c>
    </row>
    <row r="48" spans="21:22" ht="13.5">
      <c r="U48" s="78">
        <v>1900000</v>
      </c>
      <c r="V48" s="78">
        <v>0.43</v>
      </c>
    </row>
    <row r="49" spans="21:22" ht="13.5">
      <c r="U49" s="78">
        <v>1950000</v>
      </c>
      <c r="V49" s="78">
        <v>0.43</v>
      </c>
    </row>
    <row r="50" spans="21:22" ht="13.5">
      <c r="U50" s="78">
        <v>2000000</v>
      </c>
      <c r="V50" s="78">
        <v>0.43</v>
      </c>
    </row>
    <row r="51" spans="21:22" ht="13.5">
      <c r="U51" s="78">
        <v>2050000</v>
      </c>
      <c r="V51" s="78">
        <v>0.43</v>
      </c>
    </row>
    <row r="52" spans="21:22" ht="13.5">
      <c r="U52" s="78">
        <v>2100000</v>
      </c>
      <c r="V52" s="78">
        <v>0.43</v>
      </c>
    </row>
    <row r="53" spans="21:22" ht="13.5">
      <c r="U53" s="78">
        <v>2150000</v>
      </c>
      <c r="V53" s="78">
        <v>0.43</v>
      </c>
    </row>
    <row r="54" spans="21:22" ht="13.5">
      <c r="U54" s="78">
        <v>2200000</v>
      </c>
      <c r="V54" s="78">
        <v>0.43</v>
      </c>
    </row>
    <row r="55" spans="21:22" ht="13.5">
      <c r="U55" s="78">
        <v>2250000</v>
      </c>
      <c r="V55" s="78">
        <v>0.43</v>
      </c>
    </row>
    <row r="56" spans="21:22" ht="13.5">
      <c r="U56" s="78">
        <v>2300000</v>
      </c>
      <c r="V56" s="78">
        <v>0.43</v>
      </c>
    </row>
    <row r="57" spans="21:22" ht="13.5">
      <c r="U57" s="78">
        <v>2350000</v>
      </c>
      <c r="V57" s="78">
        <v>0.43</v>
      </c>
    </row>
    <row r="58" spans="21:22" ht="13.5">
      <c r="U58" s="78">
        <v>2400000</v>
      </c>
      <c r="V58" s="78">
        <v>0.43</v>
      </c>
    </row>
    <row r="59" spans="21:22" ht="13.5">
      <c r="U59" s="78">
        <v>2450000</v>
      </c>
      <c r="V59" s="78">
        <v>0.43</v>
      </c>
    </row>
    <row r="60" spans="21:22" ht="13.5">
      <c r="U60" s="78">
        <v>2500000</v>
      </c>
      <c r="V60" s="78">
        <v>0.43</v>
      </c>
    </row>
    <row r="61" spans="21:22" ht="13.5">
      <c r="U61" s="78">
        <v>2550000</v>
      </c>
      <c r="V61" s="78">
        <v>0.43</v>
      </c>
    </row>
    <row r="62" spans="21:22" ht="13.5">
      <c r="U62" s="78">
        <v>2600000</v>
      </c>
      <c r="V62" s="78">
        <v>0.43</v>
      </c>
    </row>
    <row r="63" spans="21:22" ht="13.5">
      <c r="U63" s="78">
        <v>2650000</v>
      </c>
      <c r="V63" s="78">
        <v>0.43</v>
      </c>
    </row>
    <row r="64" spans="21:22" ht="13.5">
      <c r="U64" s="78">
        <v>2700000</v>
      </c>
      <c r="V64" s="78">
        <v>0.43</v>
      </c>
    </row>
    <row r="65" spans="21:22" ht="13.5">
      <c r="U65" s="78">
        <v>2750000</v>
      </c>
      <c r="V65" s="78">
        <v>0.43</v>
      </c>
    </row>
    <row r="66" spans="21:22" ht="13.5">
      <c r="U66" s="78">
        <v>2800000</v>
      </c>
      <c r="V66" s="78">
        <v>0.42</v>
      </c>
    </row>
    <row r="67" spans="21:22" ht="13.5">
      <c r="U67" s="78">
        <v>2850000</v>
      </c>
      <c r="V67" s="78">
        <v>0.42</v>
      </c>
    </row>
    <row r="68" spans="21:22" ht="13.5">
      <c r="U68" s="78">
        <v>2900000</v>
      </c>
      <c r="V68" s="78">
        <v>0.42</v>
      </c>
    </row>
    <row r="69" spans="21:22" ht="13.5">
      <c r="U69" s="78">
        <v>2950000</v>
      </c>
      <c r="V69" s="78">
        <v>0.42</v>
      </c>
    </row>
    <row r="70" spans="21:22" ht="13.5">
      <c r="U70" s="78">
        <v>3000000</v>
      </c>
      <c r="V70" s="78">
        <v>0.42</v>
      </c>
    </row>
    <row r="71" spans="21:22" ht="13.5">
      <c r="U71" s="78">
        <v>3050000</v>
      </c>
      <c r="V71" s="78">
        <v>0.42</v>
      </c>
    </row>
    <row r="72" spans="21:22" ht="13.5">
      <c r="U72" s="78">
        <v>3100000</v>
      </c>
      <c r="V72" s="78">
        <v>0.42</v>
      </c>
    </row>
    <row r="73" spans="21:22" ht="13.5">
      <c r="U73" s="78">
        <v>3150000</v>
      </c>
      <c r="V73" s="78">
        <v>0.42</v>
      </c>
    </row>
    <row r="74" spans="21:22" ht="13.5">
      <c r="U74" s="78">
        <v>3200000</v>
      </c>
      <c r="V74" s="78">
        <v>0.42</v>
      </c>
    </row>
    <row r="75" spans="21:22" ht="13.5">
      <c r="U75" s="78">
        <v>3250000</v>
      </c>
      <c r="V75" s="78">
        <v>0.42</v>
      </c>
    </row>
    <row r="76" spans="21:22" ht="13.5">
      <c r="U76" s="78">
        <v>3300000</v>
      </c>
      <c r="V76" s="78">
        <v>0.42</v>
      </c>
    </row>
    <row r="77" spans="21:22" ht="13.5">
      <c r="U77" s="78">
        <v>3350000</v>
      </c>
      <c r="V77" s="78">
        <v>0.42</v>
      </c>
    </row>
    <row r="78" spans="21:22" ht="13.5">
      <c r="U78" s="78">
        <v>3400000</v>
      </c>
      <c r="V78" s="78">
        <v>0.42</v>
      </c>
    </row>
    <row r="79" spans="21:22" ht="13.5">
      <c r="U79" s="78">
        <v>3450000</v>
      </c>
      <c r="V79" s="78">
        <v>0.42</v>
      </c>
    </row>
    <row r="80" spans="21:22" ht="13.5">
      <c r="U80" s="78">
        <v>3500000</v>
      </c>
      <c r="V80" s="78">
        <v>0.42</v>
      </c>
    </row>
    <row r="81" spans="21:22" ht="13.5">
      <c r="U81" s="78">
        <v>3550000</v>
      </c>
      <c r="V81" s="78">
        <v>0.42</v>
      </c>
    </row>
    <row r="82" spans="21:22" ht="13.5">
      <c r="U82" s="78">
        <v>3600000</v>
      </c>
      <c r="V82" s="78">
        <v>0.42</v>
      </c>
    </row>
    <row r="83" spans="21:22" ht="13.5">
      <c r="U83" s="78">
        <v>3650000</v>
      </c>
      <c r="V83" s="78">
        <v>0.42</v>
      </c>
    </row>
    <row r="84" spans="21:22" ht="13.5">
      <c r="U84" s="78">
        <v>3700000</v>
      </c>
      <c r="V84" s="78">
        <v>0.42</v>
      </c>
    </row>
    <row r="85" spans="21:22" ht="13.5">
      <c r="U85" s="78">
        <v>3750000</v>
      </c>
      <c r="V85" s="78">
        <v>0.42</v>
      </c>
    </row>
    <row r="86" spans="21:22" ht="13.5">
      <c r="U86" s="78">
        <v>3800000</v>
      </c>
      <c r="V86" s="78">
        <v>0.42</v>
      </c>
    </row>
    <row r="87" spans="21:22" ht="13.5">
      <c r="U87" s="78">
        <v>3850000</v>
      </c>
      <c r="V87" s="78">
        <v>0.42</v>
      </c>
    </row>
    <row r="88" spans="21:22" ht="13.5">
      <c r="U88" s="78">
        <v>3900000</v>
      </c>
      <c r="V88" s="78">
        <v>0.42</v>
      </c>
    </row>
    <row r="89" spans="21:22" ht="13.5">
      <c r="U89" s="78">
        <v>3950000</v>
      </c>
      <c r="V89" s="78">
        <v>0.42</v>
      </c>
    </row>
    <row r="90" spans="21:22" ht="13.5">
      <c r="U90" s="78">
        <v>4000000</v>
      </c>
      <c r="V90" s="78">
        <v>0.42</v>
      </c>
    </row>
    <row r="91" spans="21:22" ht="13.5">
      <c r="U91" s="78">
        <v>4050000</v>
      </c>
      <c r="V91" s="78">
        <v>0.42</v>
      </c>
    </row>
    <row r="92" spans="21:22" ht="13.5">
      <c r="U92" s="78">
        <v>4100000</v>
      </c>
      <c r="V92" s="78">
        <v>0.42</v>
      </c>
    </row>
    <row r="93" spans="21:22" ht="13.5">
      <c r="U93" s="78">
        <v>4150000</v>
      </c>
      <c r="V93" s="78">
        <v>0.42</v>
      </c>
    </row>
    <row r="94" spans="21:22" ht="13.5">
      <c r="U94" s="78">
        <v>4200000</v>
      </c>
      <c r="V94" s="78">
        <v>0.42</v>
      </c>
    </row>
    <row r="95" spans="21:22" ht="13.5">
      <c r="U95" s="78">
        <v>4250000</v>
      </c>
      <c r="V95" s="78">
        <v>0.42</v>
      </c>
    </row>
    <row r="96" spans="21:22" ht="13.5">
      <c r="U96" s="78">
        <v>4300000</v>
      </c>
      <c r="V96" s="78">
        <v>0.42</v>
      </c>
    </row>
    <row r="97" spans="21:22" ht="13.5">
      <c r="U97" s="78">
        <v>4350000</v>
      </c>
      <c r="V97" s="78">
        <v>0.42</v>
      </c>
    </row>
    <row r="98" spans="21:22" ht="13.5">
      <c r="U98" s="78">
        <v>4400000</v>
      </c>
      <c r="V98" s="78">
        <v>0.42</v>
      </c>
    </row>
    <row r="99" spans="21:22" ht="13.5">
      <c r="U99" s="78">
        <v>4450000</v>
      </c>
      <c r="V99" s="78">
        <v>0.42</v>
      </c>
    </row>
    <row r="100" spans="21:22" ht="13.5">
      <c r="U100" s="78">
        <v>4500000</v>
      </c>
      <c r="V100" s="78">
        <v>0.42</v>
      </c>
    </row>
    <row r="101" spans="21:22" ht="13.5">
      <c r="U101" s="78">
        <v>4550000</v>
      </c>
      <c r="V101" s="78">
        <v>0.42</v>
      </c>
    </row>
    <row r="102" spans="21:22" ht="13.5">
      <c r="U102" s="78">
        <v>4600000</v>
      </c>
      <c r="V102" s="78">
        <v>0.42</v>
      </c>
    </row>
    <row r="103" spans="21:22" ht="13.5">
      <c r="U103" s="78">
        <v>4650000</v>
      </c>
      <c r="V103" s="78">
        <v>0.42</v>
      </c>
    </row>
    <row r="104" spans="21:22" ht="13.5">
      <c r="U104" s="78">
        <v>4700000</v>
      </c>
      <c r="V104" s="78">
        <v>0.42</v>
      </c>
    </row>
    <row r="105" spans="21:22" ht="13.5">
      <c r="U105" s="78">
        <v>4750000</v>
      </c>
      <c r="V105" s="78">
        <v>0.42</v>
      </c>
    </row>
    <row r="106" spans="21:22" ht="13.5">
      <c r="U106" s="78">
        <v>4800000</v>
      </c>
      <c r="V106" s="78">
        <v>0.42</v>
      </c>
    </row>
    <row r="107" spans="21:22" ht="13.5">
      <c r="U107" s="78">
        <v>4850000</v>
      </c>
      <c r="V107" s="78">
        <v>0.42</v>
      </c>
    </row>
    <row r="108" spans="21:22" ht="13.5">
      <c r="U108" s="78">
        <v>4900000</v>
      </c>
      <c r="V108" s="78">
        <v>0.42</v>
      </c>
    </row>
    <row r="109" spans="21:22" ht="13.5">
      <c r="U109" s="78">
        <v>4950000</v>
      </c>
      <c r="V109" s="78">
        <v>0.42</v>
      </c>
    </row>
    <row r="110" spans="21:22" ht="13.5">
      <c r="U110" s="78">
        <v>5000000</v>
      </c>
      <c r="V110" s="78">
        <v>0.42</v>
      </c>
    </row>
    <row r="111" spans="21:22" ht="13.5">
      <c r="U111" s="78">
        <v>5050000</v>
      </c>
      <c r="V111" s="78">
        <v>0.42</v>
      </c>
    </row>
    <row r="112" spans="21:22" ht="13.5">
      <c r="U112" s="78">
        <v>5100000</v>
      </c>
      <c r="V112" s="78">
        <v>0.42</v>
      </c>
    </row>
    <row r="113" spans="21:22" ht="13.5">
      <c r="U113" s="78">
        <v>5150000</v>
      </c>
      <c r="V113" s="78">
        <v>0.42</v>
      </c>
    </row>
    <row r="114" spans="21:22" ht="13.5">
      <c r="U114" s="78">
        <v>5200000</v>
      </c>
      <c r="V114" s="78">
        <v>0.42</v>
      </c>
    </row>
    <row r="115" spans="21:22" ht="13.5">
      <c r="U115" s="78">
        <v>5250000</v>
      </c>
      <c r="V115" s="78">
        <v>0.42</v>
      </c>
    </row>
    <row r="116" spans="21:22" ht="13.5">
      <c r="U116" s="78">
        <v>5300000</v>
      </c>
      <c r="V116" s="78">
        <v>0.41</v>
      </c>
    </row>
    <row r="117" spans="21:22" ht="13.5">
      <c r="U117" s="78">
        <v>5350000</v>
      </c>
      <c r="V117" s="78">
        <v>0.41</v>
      </c>
    </row>
    <row r="118" spans="21:22" ht="13.5">
      <c r="U118" s="78">
        <v>5400000</v>
      </c>
      <c r="V118" s="78">
        <v>0.41</v>
      </c>
    </row>
    <row r="119" spans="21:22" ht="13.5">
      <c r="U119" s="78">
        <v>5450000</v>
      </c>
      <c r="V119" s="78">
        <v>0.41</v>
      </c>
    </row>
    <row r="120" spans="21:22" ht="13.5">
      <c r="U120" s="78">
        <v>5500000</v>
      </c>
      <c r="V120" s="78">
        <v>0.41</v>
      </c>
    </row>
    <row r="121" spans="21:22" ht="13.5">
      <c r="U121" s="78">
        <v>5550000</v>
      </c>
      <c r="V121" s="78">
        <v>0.41</v>
      </c>
    </row>
    <row r="122" spans="21:22" ht="13.5">
      <c r="U122" s="78">
        <v>5600000</v>
      </c>
      <c r="V122" s="78">
        <v>0.41</v>
      </c>
    </row>
    <row r="123" spans="21:22" ht="13.5">
      <c r="U123" s="78">
        <v>5650000</v>
      </c>
      <c r="V123" s="78">
        <v>0.41</v>
      </c>
    </row>
    <row r="124" spans="21:22" ht="13.5">
      <c r="U124" s="78">
        <v>5700000</v>
      </c>
      <c r="V124" s="78">
        <v>0.41</v>
      </c>
    </row>
    <row r="125" spans="21:22" ht="13.5">
      <c r="U125" s="78">
        <v>5750000</v>
      </c>
      <c r="V125" s="78">
        <v>0.41</v>
      </c>
    </row>
    <row r="126" spans="21:22" ht="13.5">
      <c r="U126" s="78">
        <v>5800000</v>
      </c>
      <c r="V126" s="78">
        <v>0.41</v>
      </c>
    </row>
    <row r="127" spans="21:22" ht="13.5">
      <c r="U127" s="78">
        <v>5850000</v>
      </c>
      <c r="V127" s="78">
        <v>0.41</v>
      </c>
    </row>
    <row r="128" spans="21:22" ht="13.5">
      <c r="U128" s="78">
        <v>5900000</v>
      </c>
      <c r="V128" s="78">
        <v>0.41</v>
      </c>
    </row>
    <row r="129" spans="21:22" ht="13.5">
      <c r="U129" s="78">
        <v>5950000</v>
      </c>
      <c r="V129" s="78">
        <v>0.41</v>
      </c>
    </row>
    <row r="130" spans="21:22" ht="13.5">
      <c r="U130" s="78">
        <v>6000000</v>
      </c>
      <c r="V130" s="78">
        <v>0.41</v>
      </c>
    </row>
    <row r="131" spans="21:22" ht="13.5">
      <c r="U131" s="78">
        <v>6050000</v>
      </c>
      <c r="V131" s="78">
        <v>0.41</v>
      </c>
    </row>
    <row r="132" spans="21:22" ht="13.5">
      <c r="U132" s="78">
        <v>6100000</v>
      </c>
      <c r="V132" s="78">
        <v>0.41</v>
      </c>
    </row>
    <row r="133" spans="21:22" ht="13.5">
      <c r="U133" s="78">
        <v>6150000</v>
      </c>
      <c r="V133" s="78">
        <v>0.41</v>
      </c>
    </row>
    <row r="134" spans="21:22" ht="13.5">
      <c r="U134" s="78">
        <v>6200000</v>
      </c>
      <c r="V134" s="78">
        <v>0.41</v>
      </c>
    </row>
    <row r="135" spans="21:22" ht="13.5">
      <c r="U135" s="78">
        <v>6250000</v>
      </c>
      <c r="V135" s="78">
        <v>0.41</v>
      </c>
    </row>
    <row r="136" spans="21:22" ht="13.5">
      <c r="U136" s="78">
        <v>6300000</v>
      </c>
      <c r="V136" s="78">
        <v>0.41</v>
      </c>
    </row>
    <row r="137" spans="21:22" ht="13.5">
      <c r="U137" s="78">
        <v>6350000</v>
      </c>
      <c r="V137" s="78">
        <v>0.41</v>
      </c>
    </row>
    <row r="138" spans="21:22" ht="13.5">
      <c r="U138" s="78">
        <v>6400000</v>
      </c>
      <c r="V138" s="78">
        <v>0.41</v>
      </c>
    </row>
    <row r="139" spans="21:22" ht="13.5">
      <c r="U139" s="78">
        <v>6450000</v>
      </c>
      <c r="V139" s="78">
        <v>0.41</v>
      </c>
    </row>
    <row r="140" spans="21:22" ht="13.5">
      <c r="U140" s="78">
        <v>6500000</v>
      </c>
      <c r="V140" s="78">
        <v>0.41</v>
      </c>
    </row>
    <row r="141" spans="21:22" ht="13.5">
      <c r="U141" s="78">
        <v>6550000</v>
      </c>
      <c r="V141" s="78">
        <v>0.41</v>
      </c>
    </row>
    <row r="142" spans="21:22" ht="13.5">
      <c r="U142" s="78">
        <v>6600000</v>
      </c>
      <c r="V142" s="78">
        <v>0.41</v>
      </c>
    </row>
    <row r="143" spans="21:22" ht="13.5">
      <c r="U143" s="78">
        <v>6650000</v>
      </c>
      <c r="V143" s="78">
        <v>0.41</v>
      </c>
    </row>
    <row r="144" spans="21:22" ht="13.5">
      <c r="U144" s="78">
        <v>6700000</v>
      </c>
      <c r="V144" s="78">
        <v>0.41</v>
      </c>
    </row>
    <row r="145" spans="21:22" ht="13.5">
      <c r="U145" s="78">
        <v>6750000</v>
      </c>
      <c r="V145" s="78">
        <v>0.41</v>
      </c>
    </row>
    <row r="146" spans="21:22" ht="13.5">
      <c r="U146" s="78">
        <v>6800000</v>
      </c>
      <c r="V146" s="78">
        <v>0.41</v>
      </c>
    </row>
    <row r="147" spans="21:22" ht="13.5">
      <c r="U147" s="78">
        <v>6850000</v>
      </c>
      <c r="V147" s="78">
        <v>0.41</v>
      </c>
    </row>
    <row r="148" spans="21:22" ht="13.5">
      <c r="U148" s="78">
        <v>6900000</v>
      </c>
      <c r="V148" s="78">
        <v>0.41</v>
      </c>
    </row>
    <row r="149" spans="21:22" ht="13.5">
      <c r="U149" s="78">
        <v>6950000</v>
      </c>
      <c r="V149" s="78">
        <v>0.41</v>
      </c>
    </row>
    <row r="150" spans="21:22" ht="13.5">
      <c r="U150" s="78">
        <v>7000000</v>
      </c>
      <c r="V150" s="78">
        <v>0.41</v>
      </c>
    </row>
    <row r="151" spans="21:22" ht="13.5">
      <c r="U151" s="78">
        <v>7050000</v>
      </c>
      <c r="V151" s="78">
        <v>0.41</v>
      </c>
    </row>
    <row r="152" spans="21:22" ht="13.5">
      <c r="U152" s="78">
        <v>7100000</v>
      </c>
      <c r="V152" s="78">
        <v>0.41</v>
      </c>
    </row>
    <row r="153" spans="21:22" ht="13.5">
      <c r="U153" s="78">
        <v>7150000</v>
      </c>
      <c r="V153" s="78">
        <v>0.41</v>
      </c>
    </row>
    <row r="154" spans="21:22" ht="13.5">
      <c r="U154" s="78">
        <v>7200000</v>
      </c>
      <c r="V154" s="78">
        <v>0.41</v>
      </c>
    </row>
    <row r="155" spans="21:22" ht="13.5">
      <c r="U155" s="78">
        <v>7250000</v>
      </c>
      <c r="V155" s="78">
        <v>0.41</v>
      </c>
    </row>
    <row r="156" spans="21:22" ht="13.5">
      <c r="U156" s="78">
        <v>7300000</v>
      </c>
      <c r="V156" s="78">
        <v>0.4</v>
      </c>
    </row>
    <row r="157" spans="21:22" ht="13.5">
      <c r="U157" s="78">
        <v>7350000</v>
      </c>
      <c r="V157" s="78">
        <v>0.4</v>
      </c>
    </row>
    <row r="158" spans="21:22" ht="13.5">
      <c r="U158" s="78">
        <v>7400000</v>
      </c>
      <c r="V158" s="78">
        <v>0.4</v>
      </c>
    </row>
    <row r="159" spans="21:22" ht="13.5">
      <c r="U159" s="78">
        <v>7450000</v>
      </c>
      <c r="V159" s="78">
        <v>0.4</v>
      </c>
    </row>
    <row r="160" spans="21:22" ht="13.5">
      <c r="U160" s="78">
        <v>7500000</v>
      </c>
      <c r="V160" s="78">
        <v>0.4</v>
      </c>
    </row>
    <row r="161" spans="21:22" ht="13.5">
      <c r="U161" s="78">
        <v>7550000</v>
      </c>
      <c r="V161" s="78">
        <v>0.4</v>
      </c>
    </row>
    <row r="162" spans="21:22" ht="13.5">
      <c r="U162" s="78">
        <v>7600000</v>
      </c>
      <c r="V162" s="78">
        <v>0.4</v>
      </c>
    </row>
    <row r="163" spans="21:22" ht="13.5">
      <c r="U163" s="78">
        <v>7650000</v>
      </c>
      <c r="V163" s="78">
        <v>0.4</v>
      </c>
    </row>
    <row r="164" spans="21:22" ht="13.5">
      <c r="U164" s="78">
        <v>7700000</v>
      </c>
      <c r="V164" s="78">
        <v>0.4</v>
      </c>
    </row>
    <row r="165" spans="21:22" ht="13.5">
      <c r="U165" s="78">
        <v>7750000</v>
      </c>
      <c r="V165" s="78">
        <v>0.4</v>
      </c>
    </row>
    <row r="166" spans="21:22" ht="13.5">
      <c r="U166" s="78">
        <v>7800000</v>
      </c>
      <c r="V166" s="78">
        <v>0.4</v>
      </c>
    </row>
    <row r="167" spans="21:22" ht="13.5">
      <c r="U167" s="78">
        <v>7850000</v>
      </c>
      <c r="V167" s="78">
        <v>0.4</v>
      </c>
    </row>
    <row r="168" spans="21:22" ht="13.5">
      <c r="U168" s="78">
        <v>7900000</v>
      </c>
      <c r="V168" s="78">
        <v>0.4</v>
      </c>
    </row>
    <row r="169" spans="21:22" ht="13.5">
      <c r="U169" s="78">
        <v>7950000</v>
      </c>
      <c r="V169" s="78">
        <v>0.4</v>
      </c>
    </row>
    <row r="170" spans="21:22" ht="13.5">
      <c r="U170" s="78">
        <v>8000000</v>
      </c>
      <c r="V170" s="78">
        <v>0.4</v>
      </c>
    </row>
    <row r="171" spans="21:22" ht="13.5">
      <c r="U171" s="78">
        <v>8050000</v>
      </c>
      <c r="V171" s="78">
        <v>0.4</v>
      </c>
    </row>
    <row r="172" spans="21:22" ht="13.5">
      <c r="U172" s="78">
        <v>8100000</v>
      </c>
      <c r="V172" s="78">
        <v>0.4</v>
      </c>
    </row>
    <row r="173" spans="21:22" ht="13.5">
      <c r="U173" s="78">
        <v>8150000</v>
      </c>
      <c r="V173" s="78">
        <v>0.4</v>
      </c>
    </row>
    <row r="174" spans="21:22" ht="13.5">
      <c r="U174" s="78">
        <v>8200000</v>
      </c>
      <c r="V174" s="78">
        <v>0.4</v>
      </c>
    </row>
    <row r="175" spans="21:22" ht="13.5">
      <c r="U175" s="78">
        <v>8250000</v>
      </c>
      <c r="V175" s="78">
        <v>0.4</v>
      </c>
    </row>
    <row r="176" spans="21:22" ht="13.5">
      <c r="U176" s="78">
        <v>8300000</v>
      </c>
      <c r="V176" s="78">
        <v>0.4</v>
      </c>
    </row>
    <row r="177" spans="21:22" ht="13.5">
      <c r="U177" s="78">
        <v>8350000</v>
      </c>
      <c r="V177" s="78">
        <v>0.4</v>
      </c>
    </row>
    <row r="178" spans="21:22" ht="13.5">
      <c r="U178" s="78">
        <v>8400000</v>
      </c>
      <c r="V178" s="78">
        <v>0.4</v>
      </c>
    </row>
    <row r="179" spans="21:22" ht="13.5">
      <c r="U179" s="78">
        <v>8450000</v>
      </c>
      <c r="V179" s="78">
        <v>0.4</v>
      </c>
    </row>
    <row r="180" spans="21:22" ht="13.5">
      <c r="U180" s="78">
        <v>8500000</v>
      </c>
      <c r="V180" s="78">
        <v>0.4</v>
      </c>
    </row>
    <row r="181" spans="21:22" ht="13.5">
      <c r="U181" s="78">
        <v>8550000</v>
      </c>
      <c r="V181" s="78">
        <v>0.4</v>
      </c>
    </row>
    <row r="182" spans="21:22" ht="13.5">
      <c r="U182" s="78">
        <v>8600000</v>
      </c>
      <c r="V182" s="78">
        <v>0.4</v>
      </c>
    </row>
    <row r="183" spans="21:22" ht="13.5">
      <c r="U183" s="78">
        <v>8650000</v>
      </c>
      <c r="V183" s="78">
        <v>0.4</v>
      </c>
    </row>
    <row r="184" spans="21:22" ht="13.5">
      <c r="U184" s="78">
        <v>8700000</v>
      </c>
      <c r="V184" s="78">
        <v>0.4</v>
      </c>
    </row>
    <row r="185" spans="21:22" ht="13.5">
      <c r="U185" s="78">
        <v>8750000</v>
      </c>
      <c r="V185" s="78">
        <v>0.4</v>
      </c>
    </row>
    <row r="186" spans="21:22" ht="13.5">
      <c r="U186" s="78">
        <v>8800000</v>
      </c>
      <c r="V186" s="78">
        <v>0.4</v>
      </c>
    </row>
    <row r="187" spans="21:22" ht="13.5">
      <c r="U187" s="78">
        <v>8850000</v>
      </c>
      <c r="V187" s="78">
        <v>0.4</v>
      </c>
    </row>
    <row r="188" spans="21:22" ht="13.5">
      <c r="U188" s="78">
        <v>8900000</v>
      </c>
      <c r="V188" s="78">
        <v>0.4</v>
      </c>
    </row>
    <row r="189" spans="21:22" ht="13.5">
      <c r="U189" s="78">
        <v>8950000</v>
      </c>
      <c r="V189" s="78">
        <v>0.4</v>
      </c>
    </row>
    <row r="190" spans="21:22" ht="13.5">
      <c r="U190" s="78">
        <v>9000000</v>
      </c>
      <c r="V190" s="78">
        <v>0.4</v>
      </c>
    </row>
    <row r="191" spans="21:22" ht="13.5">
      <c r="U191" s="78">
        <v>9050000</v>
      </c>
      <c r="V191" s="78">
        <v>0.4</v>
      </c>
    </row>
    <row r="192" spans="21:22" ht="13.5">
      <c r="U192" s="78">
        <v>9100000</v>
      </c>
      <c r="V192" s="78">
        <v>0.4</v>
      </c>
    </row>
    <row r="193" spans="21:22" ht="13.5">
      <c r="U193" s="78">
        <v>9150000</v>
      </c>
      <c r="V193" s="78">
        <v>0.4</v>
      </c>
    </row>
    <row r="194" spans="21:22" ht="13.5">
      <c r="U194" s="78">
        <v>9200000</v>
      </c>
      <c r="V194" s="78">
        <v>0.4</v>
      </c>
    </row>
    <row r="195" spans="21:22" ht="13.5">
      <c r="U195" s="78">
        <v>9250000</v>
      </c>
      <c r="V195" s="78">
        <v>0.4</v>
      </c>
    </row>
    <row r="196" spans="21:22" ht="13.5">
      <c r="U196" s="78">
        <v>9300000</v>
      </c>
      <c r="V196" s="78">
        <v>0.4</v>
      </c>
    </row>
    <row r="197" spans="21:22" ht="13.5">
      <c r="U197" s="78">
        <v>9350000</v>
      </c>
      <c r="V197" s="78">
        <v>0.4</v>
      </c>
    </row>
    <row r="198" spans="21:22" ht="13.5">
      <c r="U198" s="78">
        <v>9400000</v>
      </c>
      <c r="V198" s="78">
        <v>0.4</v>
      </c>
    </row>
    <row r="199" spans="21:22" ht="13.5">
      <c r="U199" s="78">
        <v>9450000</v>
      </c>
      <c r="V199" s="78">
        <v>0.4</v>
      </c>
    </row>
    <row r="200" spans="21:22" ht="13.5">
      <c r="U200" s="78">
        <v>9500000</v>
      </c>
      <c r="V200" s="78">
        <v>0.4</v>
      </c>
    </row>
    <row r="201" spans="21:22" ht="13.5">
      <c r="U201" s="78">
        <v>9550000</v>
      </c>
      <c r="V201" s="78">
        <v>0.4</v>
      </c>
    </row>
    <row r="202" spans="21:22" ht="13.5">
      <c r="U202" s="78">
        <v>9600000</v>
      </c>
      <c r="V202" s="78">
        <v>0.4</v>
      </c>
    </row>
    <row r="203" spans="21:22" ht="13.5">
      <c r="U203" s="78">
        <v>9650000</v>
      </c>
      <c r="V203" s="78">
        <v>0.4</v>
      </c>
    </row>
    <row r="204" spans="21:22" ht="13.5">
      <c r="U204" s="78">
        <v>9700000</v>
      </c>
      <c r="V204" s="78">
        <v>0.4</v>
      </c>
    </row>
    <row r="205" spans="21:22" ht="13.5">
      <c r="U205" s="78">
        <v>9750000</v>
      </c>
      <c r="V205" s="78">
        <v>0.4</v>
      </c>
    </row>
    <row r="206" spans="21:22" ht="13.5">
      <c r="U206" s="78">
        <v>9800000</v>
      </c>
      <c r="V206" s="78">
        <v>0.4</v>
      </c>
    </row>
    <row r="207" spans="21:22" ht="13.5">
      <c r="U207" s="78">
        <v>9850000</v>
      </c>
      <c r="V207" s="78">
        <v>0.4</v>
      </c>
    </row>
    <row r="208" spans="21:22" ht="13.5">
      <c r="U208" s="78">
        <v>9900000</v>
      </c>
      <c r="V208" s="78">
        <v>0.4</v>
      </c>
    </row>
    <row r="209" spans="21:22" ht="13.5">
      <c r="U209" s="78">
        <v>9950000</v>
      </c>
      <c r="V209" s="78">
        <v>0.4</v>
      </c>
    </row>
    <row r="210" spans="21:22" ht="13.5">
      <c r="U210" s="78">
        <v>10000000</v>
      </c>
      <c r="V210" s="78">
        <v>0.4</v>
      </c>
    </row>
    <row r="211" spans="21:22" ht="13.5">
      <c r="U211" s="78">
        <v>10050000</v>
      </c>
      <c r="V211" s="78">
        <v>0.4</v>
      </c>
    </row>
    <row r="212" spans="21:22" ht="13.5">
      <c r="U212" s="78">
        <v>10100000</v>
      </c>
      <c r="V212" s="78">
        <v>0.4</v>
      </c>
    </row>
    <row r="213" spans="21:22" ht="13.5">
      <c r="U213" s="78">
        <v>10150000</v>
      </c>
      <c r="V213" s="78">
        <v>0.4</v>
      </c>
    </row>
    <row r="214" spans="21:22" ht="13.5">
      <c r="U214" s="78">
        <v>10200000</v>
      </c>
      <c r="V214" s="78">
        <v>0.4</v>
      </c>
    </row>
    <row r="215" spans="21:22" ht="13.5">
      <c r="U215" s="78">
        <v>10250000</v>
      </c>
      <c r="V215" s="78">
        <v>0.4</v>
      </c>
    </row>
    <row r="216" spans="21:22" ht="13.5">
      <c r="U216" s="78">
        <v>10300000</v>
      </c>
      <c r="V216" s="78">
        <v>0.4</v>
      </c>
    </row>
    <row r="217" spans="21:22" ht="13.5">
      <c r="U217" s="78">
        <v>10350000</v>
      </c>
      <c r="V217" s="78">
        <v>0.4</v>
      </c>
    </row>
    <row r="218" spans="21:22" ht="13.5">
      <c r="U218" s="78">
        <v>10400000</v>
      </c>
      <c r="V218" s="78">
        <v>0.4</v>
      </c>
    </row>
    <row r="219" spans="21:22" ht="13.5">
      <c r="U219" s="78">
        <v>10450000</v>
      </c>
      <c r="V219" s="78">
        <v>0.4</v>
      </c>
    </row>
    <row r="220" spans="21:22" ht="13.5">
      <c r="U220" s="78">
        <v>10500000</v>
      </c>
      <c r="V220" s="78">
        <v>0.4</v>
      </c>
    </row>
    <row r="221" spans="21:22" ht="13.5">
      <c r="U221" s="78">
        <v>10550000</v>
      </c>
      <c r="V221" s="78">
        <v>0.4</v>
      </c>
    </row>
    <row r="222" spans="21:22" ht="13.5">
      <c r="U222" s="78">
        <v>10600000</v>
      </c>
      <c r="V222" s="78">
        <v>0.4</v>
      </c>
    </row>
    <row r="223" spans="21:22" ht="13.5">
      <c r="U223" s="78">
        <v>10650000</v>
      </c>
      <c r="V223" s="78">
        <v>0.4</v>
      </c>
    </row>
    <row r="224" spans="21:22" ht="13.5">
      <c r="U224" s="78">
        <v>10700000</v>
      </c>
      <c r="V224" s="78">
        <v>0.4</v>
      </c>
    </row>
    <row r="225" spans="21:22" ht="13.5">
      <c r="U225" s="78">
        <v>10750000</v>
      </c>
      <c r="V225" s="78">
        <v>0.4</v>
      </c>
    </row>
    <row r="226" spans="21:22" ht="13.5">
      <c r="U226" s="78">
        <v>10800000</v>
      </c>
      <c r="V226" s="78">
        <v>0.4</v>
      </c>
    </row>
    <row r="227" spans="21:22" ht="13.5">
      <c r="U227" s="78">
        <v>10850000</v>
      </c>
      <c r="V227" s="78">
        <v>0.4</v>
      </c>
    </row>
    <row r="228" spans="21:22" ht="13.5">
      <c r="U228" s="78">
        <v>10900000</v>
      </c>
      <c r="V228" s="78">
        <v>0.4</v>
      </c>
    </row>
    <row r="229" spans="21:22" ht="13.5">
      <c r="U229" s="78">
        <v>10950000</v>
      </c>
      <c r="V229" s="78">
        <v>0.4</v>
      </c>
    </row>
    <row r="230" spans="21:22" ht="13.5">
      <c r="U230" s="78">
        <v>11000000</v>
      </c>
      <c r="V230" s="78">
        <v>0.4</v>
      </c>
    </row>
    <row r="231" spans="21:22" ht="13.5">
      <c r="U231" s="78">
        <v>11050000</v>
      </c>
      <c r="V231" s="78">
        <v>0.4</v>
      </c>
    </row>
    <row r="232" spans="21:22" ht="13.5">
      <c r="U232" s="78">
        <v>11100000</v>
      </c>
      <c r="V232" s="78">
        <v>0.4</v>
      </c>
    </row>
    <row r="233" spans="21:22" ht="13.5">
      <c r="U233" s="78">
        <v>11150000</v>
      </c>
      <c r="V233" s="78">
        <v>0.4</v>
      </c>
    </row>
    <row r="234" spans="21:22" ht="13.5">
      <c r="U234" s="78">
        <v>11200000</v>
      </c>
      <c r="V234" s="78">
        <v>0.4</v>
      </c>
    </row>
    <row r="235" spans="21:22" ht="13.5">
      <c r="U235" s="78">
        <v>11250000</v>
      </c>
      <c r="V235" s="78">
        <v>0.4</v>
      </c>
    </row>
    <row r="236" spans="21:22" ht="13.5">
      <c r="U236" s="78">
        <v>11300000</v>
      </c>
      <c r="V236" s="78">
        <v>0.4</v>
      </c>
    </row>
    <row r="237" spans="21:22" ht="13.5">
      <c r="U237" s="78">
        <v>11350000</v>
      </c>
      <c r="V237" s="78">
        <v>0.4</v>
      </c>
    </row>
    <row r="238" spans="21:22" ht="13.5">
      <c r="U238" s="78">
        <v>11400000</v>
      </c>
      <c r="V238" s="78">
        <v>0.4</v>
      </c>
    </row>
    <row r="239" spans="21:22" ht="13.5">
      <c r="U239" s="78">
        <v>11450000</v>
      </c>
      <c r="V239" s="78">
        <v>0.4</v>
      </c>
    </row>
    <row r="240" spans="21:22" ht="13.5">
      <c r="U240" s="78">
        <v>11500000</v>
      </c>
      <c r="V240" s="78">
        <v>0.4</v>
      </c>
    </row>
    <row r="241" spans="21:22" ht="13.5">
      <c r="U241" s="78">
        <v>11550000</v>
      </c>
      <c r="V241" s="78">
        <v>0.4</v>
      </c>
    </row>
    <row r="242" spans="21:22" ht="13.5">
      <c r="U242" s="78">
        <v>11600000</v>
      </c>
      <c r="V242" s="78">
        <v>0.4</v>
      </c>
    </row>
    <row r="243" spans="21:22" ht="13.5">
      <c r="U243" s="78">
        <v>11650000</v>
      </c>
      <c r="V243" s="78">
        <v>0.4</v>
      </c>
    </row>
    <row r="244" spans="21:22" ht="13.5">
      <c r="U244" s="78">
        <v>11700000</v>
      </c>
      <c r="V244" s="78">
        <v>0.4</v>
      </c>
    </row>
    <row r="245" spans="21:22" ht="13.5">
      <c r="U245" s="78">
        <v>11750000</v>
      </c>
      <c r="V245" s="78">
        <v>0.4</v>
      </c>
    </row>
    <row r="246" spans="21:22" ht="13.5">
      <c r="U246" s="78">
        <v>11800000</v>
      </c>
      <c r="V246" s="78">
        <v>0.4</v>
      </c>
    </row>
    <row r="247" spans="21:22" ht="13.5">
      <c r="U247" s="78">
        <v>11850000</v>
      </c>
      <c r="V247" s="78">
        <v>0.4</v>
      </c>
    </row>
    <row r="248" spans="21:22" ht="13.5">
      <c r="U248" s="78">
        <v>11900000</v>
      </c>
      <c r="V248" s="78">
        <v>0.4</v>
      </c>
    </row>
    <row r="249" spans="21:22" ht="13.5">
      <c r="U249" s="78">
        <v>11950000</v>
      </c>
      <c r="V249" s="78">
        <v>0.4</v>
      </c>
    </row>
    <row r="250" spans="21:22" ht="13.5">
      <c r="U250" s="78">
        <v>12000000</v>
      </c>
      <c r="V250" s="78">
        <v>0.4</v>
      </c>
    </row>
    <row r="251" spans="21:22" ht="13.5">
      <c r="U251" s="78">
        <v>12050000</v>
      </c>
      <c r="V251" s="78">
        <v>0.4</v>
      </c>
    </row>
    <row r="252" spans="21:22" ht="13.5">
      <c r="U252" s="78">
        <v>12100000</v>
      </c>
      <c r="V252" s="78">
        <v>0.4</v>
      </c>
    </row>
    <row r="253" spans="21:22" ht="13.5">
      <c r="U253" s="78">
        <v>12150000</v>
      </c>
      <c r="V253" s="78">
        <v>0.4</v>
      </c>
    </row>
    <row r="254" spans="21:22" ht="13.5">
      <c r="U254" s="78">
        <v>12200000</v>
      </c>
      <c r="V254" s="78">
        <v>0.4</v>
      </c>
    </row>
    <row r="255" spans="21:22" ht="13.5">
      <c r="U255" s="78">
        <v>12250000</v>
      </c>
      <c r="V255" s="78">
        <v>0.4</v>
      </c>
    </row>
    <row r="256" spans="21:22" ht="13.5">
      <c r="U256" s="78">
        <v>12300000</v>
      </c>
      <c r="V256" s="78">
        <v>0.4</v>
      </c>
    </row>
    <row r="257" spans="21:22" ht="13.5">
      <c r="U257" s="78">
        <v>12350000</v>
      </c>
      <c r="V257" s="78">
        <v>0.4</v>
      </c>
    </row>
    <row r="258" spans="21:22" ht="13.5">
      <c r="U258" s="78">
        <v>12400000</v>
      </c>
      <c r="V258" s="78">
        <v>0.4</v>
      </c>
    </row>
    <row r="259" spans="21:22" ht="13.5">
      <c r="U259" s="78">
        <v>12450000</v>
      </c>
      <c r="V259" s="78">
        <v>0.4</v>
      </c>
    </row>
    <row r="260" spans="21:22" ht="13.5">
      <c r="U260" s="78">
        <v>12500000</v>
      </c>
      <c r="V260" s="78">
        <v>0.4</v>
      </c>
    </row>
    <row r="261" spans="21:22" ht="13.5">
      <c r="U261" s="78">
        <v>12550000</v>
      </c>
      <c r="V261" s="78">
        <v>0.4</v>
      </c>
    </row>
    <row r="262" spans="21:22" ht="13.5">
      <c r="U262" s="78">
        <v>12600000</v>
      </c>
      <c r="V262" s="78">
        <v>0.4</v>
      </c>
    </row>
    <row r="263" spans="21:22" ht="13.5">
      <c r="U263" s="78">
        <v>12650000</v>
      </c>
      <c r="V263" s="78">
        <v>0.4</v>
      </c>
    </row>
    <row r="264" spans="21:22" ht="13.5">
      <c r="U264" s="78">
        <v>12700000</v>
      </c>
      <c r="V264" s="78">
        <v>0.4</v>
      </c>
    </row>
    <row r="265" spans="21:22" ht="13.5">
      <c r="U265" s="78">
        <v>12750000</v>
      </c>
      <c r="V265" s="78">
        <v>0.4</v>
      </c>
    </row>
    <row r="266" spans="21:22" ht="13.5">
      <c r="U266" s="78">
        <v>12800000</v>
      </c>
      <c r="V266" s="78">
        <v>0.4</v>
      </c>
    </row>
    <row r="267" spans="21:22" ht="13.5">
      <c r="U267" s="78">
        <v>12850000</v>
      </c>
      <c r="V267" s="78">
        <v>0.4</v>
      </c>
    </row>
    <row r="268" spans="21:22" ht="13.5">
      <c r="U268" s="78">
        <v>12900000</v>
      </c>
      <c r="V268" s="78">
        <v>0.4</v>
      </c>
    </row>
    <row r="269" spans="21:22" ht="13.5">
      <c r="U269" s="78">
        <v>12950000</v>
      </c>
      <c r="V269" s="78">
        <v>0.4</v>
      </c>
    </row>
    <row r="270" spans="21:22" ht="13.5">
      <c r="U270" s="78">
        <v>13000000</v>
      </c>
      <c r="V270" s="78">
        <v>0.4</v>
      </c>
    </row>
    <row r="271" spans="21:22" ht="13.5">
      <c r="U271" s="78">
        <v>13050000</v>
      </c>
      <c r="V271" s="78">
        <v>0.4</v>
      </c>
    </row>
    <row r="272" spans="21:22" ht="13.5">
      <c r="U272" s="78">
        <v>13100000</v>
      </c>
      <c r="V272" s="78">
        <v>0.4</v>
      </c>
    </row>
    <row r="273" spans="21:22" ht="13.5">
      <c r="U273" s="78">
        <v>13150000</v>
      </c>
      <c r="V273" s="78">
        <v>0.4</v>
      </c>
    </row>
    <row r="274" spans="21:22" ht="13.5">
      <c r="U274" s="78">
        <v>13200000</v>
      </c>
      <c r="V274" s="78">
        <v>0.4</v>
      </c>
    </row>
    <row r="275" spans="21:22" ht="13.5">
      <c r="U275" s="78">
        <v>13250000</v>
      </c>
      <c r="V275" s="78">
        <v>0.4</v>
      </c>
    </row>
    <row r="276" spans="21:22" ht="13.5">
      <c r="U276" s="78">
        <v>13300000</v>
      </c>
      <c r="V276" s="78">
        <v>0.39</v>
      </c>
    </row>
    <row r="277" spans="21:22" ht="13.5">
      <c r="U277" s="78">
        <v>13350000</v>
      </c>
      <c r="V277" s="78">
        <v>0.39</v>
      </c>
    </row>
    <row r="278" spans="21:22" ht="13.5">
      <c r="U278" s="78">
        <v>13400000</v>
      </c>
      <c r="V278" s="78">
        <v>0.39</v>
      </c>
    </row>
    <row r="279" spans="21:22" ht="13.5">
      <c r="U279" s="78">
        <v>13450000</v>
      </c>
      <c r="V279" s="78">
        <v>0.39</v>
      </c>
    </row>
    <row r="280" spans="21:22" ht="13.5">
      <c r="U280" s="78">
        <v>13500000</v>
      </c>
      <c r="V280" s="78">
        <v>0.39</v>
      </c>
    </row>
    <row r="281" spans="21:22" ht="13.5">
      <c r="U281" s="78">
        <v>13550000</v>
      </c>
      <c r="V281" s="78">
        <v>0.39</v>
      </c>
    </row>
    <row r="282" spans="21:22" ht="13.5">
      <c r="U282" s="78">
        <v>13600000</v>
      </c>
      <c r="V282" s="78">
        <v>0.39</v>
      </c>
    </row>
    <row r="283" spans="21:22" ht="13.5">
      <c r="U283" s="78">
        <v>13650000</v>
      </c>
      <c r="V283" s="78">
        <v>0.39</v>
      </c>
    </row>
    <row r="284" spans="21:22" ht="13.5">
      <c r="U284" s="78">
        <v>13700000</v>
      </c>
      <c r="V284" s="78">
        <v>0.39</v>
      </c>
    </row>
    <row r="285" spans="21:22" ht="13.5">
      <c r="U285" s="78">
        <v>13750000</v>
      </c>
      <c r="V285" s="78">
        <v>0.39</v>
      </c>
    </row>
    <row r="286" spans="21:22" ht="13.5">
      <c r="U286" s="78">
        <v>13800000</v>
      </c>
      <c r="V286" s="78">
        <v>0.39</v>
      </c>
    </row>
    <row r="287" spans="21:22" ht="13.5">
      <c r="U287" s="78">
        <v>13850000</v>
      </c>
      <c r="V287" s="78">
        <v>0.39</v>
      </c>
    </row>
    <row r="288" spans="21:22" ht="13.5">
      <c r="U288" s="78">
        <v>13900000</v>
      </c>
      <c r="V288" s="78">
        <v>0.39</v>
      </c>
    </row>
    <row r="289" spans="21:22" ht="13.5">
      <c r="U289" s="78">
        <v>13950000</v>
      </c>
      <c r="V289" s="78">
        <v>0.39</v>
      </c>
    </row>
    <row r="290" spans="21:22" ht="13.5">
      <c r="U290" s="78">
        <v>14000000</v>
      </c>
      <c r="V290" s="78">
        <v>0.39</v>
      </c>
    </row>
    <row r="291" spans="21:22" ht="13.5">
      <c r="U291" s="78">
        <v>14050000</v>
      </c>
      <c r="V291" s="78">
        <v>0.39</v>
      </c>
    </row>
    <row r="292" spans="21:22" ht="13.5">
      <c r="U292" s="78">
        <v>14100000</v>
      </c>
      <c r="V292" s="78">
        <v>0.39</v>
      </c>
    </row>
    <row r="293" spans="21:22" ht="13.5">
      <c r="U293" s="78">
        <v>14150000</v>
      </c>
      <c r="V293" s="78">
        <v>0.39</v>
      </c>
    </row>
    <row r="294" spans="21:22" ht="13.5">
      <c r="U294" s="78">
        <v>14200000</v>
      </c>
      <c r="V294" s="78">
        <v>0.39</v>
      </c>
    </row>
    <row r="295" spans="21:22" ht="13.5">
      <c r="U295" s="78">
        <v>14250000</v>
      </c>
      <c r="V295" s="78">
        <v>0.39</v>
      </c>
    </row>
    <row r="296" spans="21:22" ht="13.5">
      <c r="U296" s="78">
        <v>14300000</v>
      </c>
      <c r="V296" s="78">
        <v>0.39</v>
      </c>
    </row>
    <row r="297" spans="21:22" ht="13.5">
      <c r="U297" s="78">
        <v>14350000</v>
      </c>
      <c r="V297" s="78">
        <v>0.39</v>
      </c>
    </row>
    <row r="298" spans="21:22" ht="13.5">
      <c r="U298" s="78">
        <v>14400000</v>
      </c>
      <c r="V298" s="78">
        <v>0.39</v>
      </c>
    </row>
    <row r="299" spans="21:22" ht="13.5">
      <c r="U299" s="78">
        <v>14450000</v>
      </c>
      <c r="V299" s="78">
        <v>0.39</v>
      </c>
    </row>
    <row r="300" spans="21:22" ht="13.5">
      <c r="U300" s="78">
        <v>14500000</v>
      </c>
      <c r="V300" s="78">
        <v>0.39</v>
      </c>
    </row>
    <row r="301" spans="21:22" ht="13.5">
      <c r="U301" s="78">
        <v>14550000</v>
      </c>
      <c r="V301" s="78">
        <v>0.39</v>
      </c>
    </row>
    <row r="302" spans="21:22" ht="13.5">
      <c r="U302" s="78">
        <v>14600000</v>
      </c>
      <c r="V302" s="78">
        <v>0.39</v>
      </c>
    </row>
    <row r="303" spans="21:22" ht="13.5">
      <c r="U303" s="78">
        <v>14650000</v>
      </c>
      <c r="V303" s="78">
        <v>0.39</v>
      </c>
    </row>
    <row r="304" spans="21:22" ht="13.5">
      <c r="U304" s="78">
        <v>14700000</v>
      </c>
      <c r="V304" s="78">
        <v>0.39</v>
      </c>
    </row>
    <row r="305" spans="21:22" ht="13.5">
      <c r="U305" s="78">
        <v>14750000</v>
      </c>
      <c r="V305" s="78">
        <v>0.39</v>
      </c>
    </row>
    <row r="306" spans="21:22" ht="13.5">
      <c r="U306" s="78">
        <v>14800000</v>
      </c>
      <c r="V306" s="78">
        <v>0.39</v>
      </c>
    </row>
    <row r="307" spans="21:22" ht="13.5">
      <c r="U307" s="78">
        <v>14850000</v>
      </c>
      <c r="V307" s="78">
        <v>0.39</v>
      </c>
    </row>
    <row r="308" spans="21:22" ht="13.5">
      <c r="U308" s="78">
        <v>14900000</v>
      </c>
      <c r="V308" s="78">
        <v>0.39</v>
      </c>
    </row>
    <row r="309" spans="21:22" ht="13.5">
      <c r="U309" s="78">
        <v>14950000</v>
      </c>
      <c r="V309" s="78">
        <v>0.39</v>
      </c>
    </row>
    <row r="310" spans="21:22" ht="13.5">
      <c r="U310" s="78">
        <v>15000000</v>
      </c>
      <c r="V310" s="78">
        <v>0.39</v>
      </c>
    </row>
    <row r="311" spans="21:22" ht="13.5">
      <c r="U311" s="78">
        <v>15050000</v>
      </c>
      <c r="V311" s="78">
        <v>0.39</v>
      </c>
    </row>
    <row r="312" spans="21:22" ht="13.5">
      <c r="U312" s="78">
        <v>15100000</v>
      </c>
      <c r="V312" s="78">
        <v>0.39</v>
      </c>
    </row>
    <row r="313" spans="21:22" ht="13.5">
      <c r="U313" s="78">
        <v>15150000</v>
      </c>
      <c r="V313" s="78">
        <v>0.39</v>
      </c>
    </row>
    <row r="314" spans="21:22" ht="13.5">
      <c r="U314" s="78">
        <v>15200000</v>
      </c>
      <c r="V314" s="78">
        <v>0.39</v>
      </c>
    </row>
    <row r="315" spans="21:22" ht="13.5">
      <c r="U315" s="78">
        <v>15250000</v>
      </c>
      <c r="V315" s="78">
        <v>0.39</v>
      </c>
    </row>
    <row r="316" spans="21:22" ht="13.5">
      <c r="U316" s="78">
        <v>15300000</v>
      </c>
      <c r="V316" s="78">
        <v>0.39</v>
      </c>
    </row>
    <row r="317" spans="21:22" ht="13.5">
      <c r="U317" s="78">
        <v>15350000</v>
      </c>
      <c r="V317" s="78">
        <v>0.39</v>
      </c>
    </row>
    <row r="318" spans="21:22" ht="13.5">
      <c r="U318" s="78">
        <v>15400000</v>
      </c>
      <c r="V318" s="78">
        <v>0.39</v>
      </c>
    </row>
    <row r="319" spans="21:22" ht="13.5">
      <c r="U319" s="78">
        <v>15450000</v>
      </c>
      <c r="V319" s="78">
        <v>0.39</v>
      </c>
    </row>
    <row r="320" spans="21:22" ht="13.5">
      <c r="U320" s="78">
        <v>15500000</v>
      </c>
      <c r="V320" s="78">
        <v>0.39</v>
      </c>
    </row>
    <row r="321" spans="21:22" ht="13.5">
      <c r="U321" s="78">
        <v>15550000</v>
      </c>
      <c r="V321" s="78">
        <v>0.39</v>
      </c>
    </row>
    <row r="322" spans="21:22" ht="13.5">
      <c r="U322" s="78">
        <v>15600000</v>
      </c>
      <c r="V322" s="78">
        <v>0.39</v>
      </c>
    </row>
    <row r="323" spans="21:22" ht="13.5">
      <c r="U323" s="78">
        <v>15650000</v>
      </c>
      <c r="V323" s="78">
        <v>0.39</v>
      </c>
    </row>
    <row r="324" spans="21:22" ht="13.5">
      <c r="U324" s="78">
        <v>15700000</v>
      </c>
      <c r="V324" s="78">
        <v>0.39</v>
      </c>
    </row>
    <row r="325" spans="21:22" ht="13.5">
      <c r="U325" s="78">
        <v>15750000</v>
      </c>
      <c r="V325" s="78">
        <v>0.39</v>
      </c>
    </row>
    <row r="326" spans="21:22" ht="13.5">
      <c r="U326" s="78">
        <v>15800000</v>
      </c>
      <c r="V326" s="78">
        <v>0.39</v>
      </c>
    </row>
    <row r="327" spans="21:22" ht="13.5">
      <c r="U327" s="78">
        <v>15850000</v>
      </c>
      <c r="V327" s="78">
        <v>0.39</v>
      </c>
    </row>
    <row r="328" spans="21:22" ht="13.5">
      <c r="U328" s="78">
        <v>15900000</v>
      </c>
      <c r="V328" s="78">
        <v>0.39</v>
      </c>
    </row>
    <row r="329" spans="21:22" ht="13.5">
      <c r="U329" s="78">
        <v>15950000</v>
      </c>
      <c r="V329" s="78">
        <v>0.39</v>
      </c>
    </row>
    <row r="330" spans="21:22" ht="13.5">
      <c r="U330" s="78">
        <v>16000000</v>
      </c>
      <c r="V330" s="78">
        <v>0.39</v>
      </c>
    </row>
    <row r="331" spans="21:22" ht="13.5">
      <c r="U331" s="78">
        <v>16050000</v>
      </c>
      <c r="V331" s="78">
        <v>0.39</v>
      </c>
    </row>
    <row r="332" spans="21:22" ht="13.5">
      <c r="U332" s="78">
        <v>16100000</v>
      </c>
      <c r="V332" s="78">
        <v>0.39</v>
      </c>
    </row>
    <row r="333" spans="21:22" ht="13.5">
      <c r="U333" s="78">
        <v>16150000</v>
      </c>
      <c r="V333" s="78">
        <v>0.39</v>
      </c>
    </row>
    <row r="334" spans="21:22" ht="13.5">
      <c r="U334" s="78">
        <v>16200000</v>
      </c>
      <c r="V334" s="78">
        <v>0.39</v>
      </c>
    </row>
    <row r="335" spans="21:22" ht="13.5">
      <c r="U335" s="78">
        <v>16250000</v>
      </c>
      <c r="V335" s="78">
        <v>0.39</v>
      </c>
    </row>
    <row r="336" spans="21:22" ht="13.5">
      <c r="U336" s="78">
        <v>16300000</v>
      </c>
      <c r="V336" s="78">
        <v>0.39</v>
      </c>
    </row>
    <row r="337" spans="21:22" ht="13.5">
      <c r="U337" s="78">
        <v>16350000</v>
      </c>
      <c r="V337" s="78">
        <v>0.39</v>
      </c>
    </row>
    <row r="338" spans="21:22" ht="13.5">
      <c r="U338" s="78">
        <v>16400000</v>
      </c>
      <c r="V338" s="78">
        <v>0.39</v>
      </c>
    </row>
    <row r="339" spans="21:22" ht="13.5">
      <c r="U339" s="78">
        <v>16450000</v>
      </c>
      <c r="V339" s="78">
        <v>0.39</v>
      </c>
    </row>
    <row r="340" spans="21:22" ht="13.5">
      <c r="U340" s="78">
        <v>16500000</v>
      </c>
      <c r="V340" s="78">
        <v>0.39</v>
      </c>
    </row>
    <row r="341" spans="21:22" ht="13.5">
      <c r="U341" s="78">
        <v>16550000</v>
      </c>
      <c r="V341" s="78">
        <v>0.39</v>
      </c>
    </row>
    <row r="342" spans="21:22" ht="13.5">
      <c r="U342" s="78">
        <v>16600000</v>
      </c>
      <c r="V342" s="78">
        <v>0.39</v>
      </c>
    </row>
    <row r="343" spans="21:22" ht="13.5">
      <c r="U343" s="78">
        <v>16650000</v>
      </c>
      <c r="V343" s="78">
        <v>0.39</v>
      </c>
    </row>
    <row r="344" spans="21:22" ht="13.5">
      <c r="U344" s="78">
        <v>16700000</v>
      </c>
      <c r="V344" s="78">
        <v>0.39</v>
      </c>
    </row>
    <row r="345" spans="21:22" ht="13.5">
      <c r="U345" s="78">
        <v>16750000</v>
      </c>
      <c r="V345" s="78">
        <v>0.39</v>
      </c>
    </row>
    <row r="346" spans="21:22" ht="13.5">
      <c r="U346" s="78">
        <v>16800000</v>
      </c>
      <c r="V346" s="78">
        <v>0.39</v>
      </c>
    </row>
    <row r="347" spans="21:22" ht="13.5">
      <c r="U347" s="78">
        <v>16850000</v>
      </c>
      <c r="V347" s="78">
        <v>0.39</v>
      </c>
    </row>
    <row r="348" spans="21:22" ht="13.5">
      <c r="U348" s="78">
        <v>16900000</v>
      </c>
      <c r="V348" s="78">
        <v>0.39</v>
      </c>
    </row>
    <row r="349" spans="21:22" ht="13.5">
      <c r="U349" s="78">
        <v>16950000</v>
      </c>
      <c r="V349" s="78">
        <v>0.39</v>
      </c>
    </row>
    <row r="350" spans="21:22" ht="13.5">
      <c r="U350" s="78">
        <v>17000000</v>
      </c>
      <c r="V350" s="78">
        <v>0.39</v>
      </c>
    </row>
    <row r="351" spans="21:22" ht="13.5">
      <c r="U351" s="78">
        <v>17050000</v>
      </c>
      <c r="V351" s="78">
        <v>0.39</v>
      </c>
    </row>
    <row r="352" spans="21:22" ht="13.5">
      <c r="U352" s="78">
        <v>17100000</v>
      </c>
      <c r="V352" s="78">
        <v>0.39</v>
      </c>
    </row>
    <row r="353" spans="21:22" ht="13.5">
      <c r="U353" s="78">
        <v>17150000</v>
      </c>
      <c r="V353" s="78">
        <v>0.39</v>
      </c>
    </row>
    <row r="354" spans="21:22" ht="13.5">
      <c r="U354" s="78">
        <v>17200000</v>
      </c>
      <c r="V354" s="78">
        <v>0.39</v>
      </c>
    </row>
    <row r="355" spans="21:22" ht="13.5">
      <c r="U355" s="78">
        <v>17250000</v>
      </c>
      <c r="V355" s="78">
        <v>0.39</v>
      </c>
    </row>
    <row r="356" spans="21:22" ht="13.5">
      <c r="U356" s="78">
        <v>17300000</v>
      </c>
      <c r="V356" s="78">
        <v>0.39</v>
      </c>
    </row>
    <row r="357" spans="21:22" ht="13.5">
      <c r="U357" s="78">
        <v>17350000</v>
      </c>
      <c r="V357" s="78">
        <v>0.39</v>
      </c>
    </row>
    <row r="358" spans="21:22" ht="13.5">
      <c r="U358" s="78">
        <v>17400000</v>
      </c>
      <c r="V358" s="78">
        <v>0.39</v>
      </c>
    </row>
    <row r="359" spans="21:22" ht="13.5">
      <c r="U359" s="78">
        <v>17450000</v>
      </c>
      <c r="V359" s="78">
        <v>0.39</v>
      </c>
    </row>
    <row r="360" spans="21:22" ht="13.5">
      <c r="U360" s="78">
        <v>17500000</v>
      </c>
      <c r="V360" s="78">
        <v>0.38</v>
      </c>
    </row>
    <row r="361" spans="21:22" ht="13.5">
      <c r="U361" s="78">
        <v>17550000</v>
      </c>
      <c r="V361" s="78">
        <v>0.38</v>
      </c>
    </row>
    <row r="362" spans="21:22" ht="13.5">
      <c r="U362" s="78">
        <v>17600000</v>
      </c>
      <c r="V362" s="78">
        <v>0.38</v>
      </c>
    </row>
    <row r="363" spans="21:22" ht="13.5">
      <c r="U363" s="78">
        <v>17650000</v>
      </c>
      <c r="V363" s="78">
        <v>0.38</v>
      </c>
    </row>
    <row r="364" spans="21:22" ht="13.5">
      <c r="U364" s="78">
        <v>17700000</v>
      </c>
      <c r="V364" s="78">
        <v>0.38</v>
      </c>
    </row>
    <row r="365" spans="21:22" ht="13.5">
      <c r="U365" s="78">
        <v>17750000</v>
      </c>
      <c r="V365" s="78">
        <v>0.38</v>
      </c>
    </row>
    <row r="366" spans="21:22" ht="13.5">
      <c r="U366" s="78">
        <v>17800000</v>
      </c>
      <c r="V366" s="78">
        <v>0.38</v>
      </c>
    </row>
    <row r="367" spans="21:22" ht="13.5">
      <c r="U367" s="78">
        <v>17850000</v>
      </c>
      <c r="V367" s="78">
        <v>0.38</v>
      </c>
    </row>
    <row r="368" spans="21:22" ht="13.5">
      <c r="U368" s="78">
        <v>17900000</v>
      </c>
      <c r="V368" s="78">
        <v>0.38</v>
      </c>
    </row>
    <row r="369" spans="21:22" ht="13.5">
      <c r="U369" s="78">
        <v>17950000</v>
      </c>
      <c r="V369" s="78">
        <v>0.38</v>
      </c>
    </row>
    <row r="370" spans="21:22" ht="13.5">
      <c r="U370" s="78">
        <v>18000000</v>
      </c>
      <c r="V370" s="78">
        <v>0.38</v>
      </c>
    </row>
    <row r="371" spans="21:22" ht="13.5">
      <c r="U371" s="78">
        <v>18050000</v>
      </c>
      <c r="V371" s="78">
        <v>0.38</v>
      </c>
    </row>
    <row r="372" spans="21:22" ht="13.5">
      <c r="U372" s="78">
        <v>18100000</v>
      </c>
      <c r="V372" s="78">
        <v>0.38</v>
      </c>
    </row>
    <row r="373" spans="21:22" ht="13.5">
      <c r="U373" s="78">
        <v>18150000</v>
      </c>
      <c r="V373" s="78">
        <v>0.38</v>
      </c>
    </row>
    <row r="374" spans="21:22" ht="13.5">
      <c r="U374" s="78">
        <v>18200000</v>
      </c>
      <c r="V374" s="78">
        <v>0.38</v>
      </c>
    </row>
    <row r="375" spans="21:22" ht="13.5">
      <c r="U375" s="78">
        <v>18250000</v>
      </c>
      <c r="V375" s="78">
        <v>0.38</v>
      </c>
    </row>
    <row r="376" spans="21:22" ht="13.5">
      <c r="U376" s="78">
        <v>18300000</v>
      </c>
      <c r="V376" s="78">
        <v>0.38</v>
      </c>
    </row>
    <row r="377" spans="21:22" ht="13.5">
      <c r="U377" s="78">
        <v>18350000</v>
      </c>
      <c r="V377" s="78">
        <v>0.38</v>
      </c>
    </row>
    <row r="378" spans="21:22" ht="13.5">
      <c r="U378" s="78">
        <v>18400000</v>
      </c>
      <c r="V378" s="78">
        <v>0.38</v>
      </c>
    </row>
    <row r="379" spans="21:22" ht="13.5">
      <c r="U379" s="78">
        <v>18450000</v>
      </c>
      <c r="V379" s="78">
        <v>0.38</v>
      </c>
    </row>
    <row r="380" spans="21:22" ht="13.5">
      <c r="U380" s="78">
        <v>18500000</v>
      </c>
      <c r="V380" s="78">
        <v>0.38</v>
      </c>
    </row>
    <row r="381" spans="21:22" ht="13.5">
      <c r="U381" s="78">
        <v>18550000</v>
      </c>
      <c r="V381" s="78">
        <v>0.38</v>
      </c>
    </row>
    <row r="382" spans="21:22" ht="13.5">
      <c r="U382" s="78">
        <v>18600000</v>
      </c>
      <c r="V382" s="78">
        <v>0.38</v>
      </c>
    </row>
    <row r="383" spans="21:22" ht="13.5">
      <c r="U383" s="78">
        <v>18650000</v>
      </c>
      <c r="V383" s="78">
        <v>0.38</v>
      </c>
    </row>
    <row r="384" spans="21:22" ht="13.5">
      <c r="U384" s="78">
        <v>18700000</v>
      </c>
      <c r="V384" s="78">
        <v>0.38</v>
      </c>
    </row>
    <row r="385" spans="21:22" ht="13.5">
      <c r="U385" s="78">
        <v>18750000</v>
      </c>
      <c r="V385" s="78">
        <v>0.38</v>
      </c>
    </row>
    <row r="386" spans="21:22" ht="13.5">
      <c r="U386" s="78">
        <v>18800000</v>
      </c>
      <c r="V386" s="78">
        <v>0.38</v>
      </c>
    </row>
    <row r="387" spans="21:22" ht="13.5">
      <c r="U387" s="78">
        <v>18850000</v>
      </c>
      <c r="V387" s="78">
        <v>0.38</v>
      </c>
    </row>
    <row r="388" spans="21:22" ht="13.5">
      <c r="U388" s="78">
        <v>18900000</v>
      </c>
      <c r="V388" s="78">
        <v>0.38</v>
      </c>
    </row>
    <row r="389" spans="21:22" ht="13.5">
      <c r="U389" s="78">
        <v>18950000</v>
      </c>
      <c r="V389" s="78">
        <v>0.38</v>
      </c>
    </row>
    <row r="390" spans="21:22" ht="13.5">
      <c r="U390" s="78">
        <v>19000000</v>
      </c>
      <c r="V390" s="78">
        <v>0.38</v>
      </c>
    </row>
    <row r="391" spans="21:22" ht="13.5">
      <c r="U391" s="78">
        <v>19050000</v>
      </c>
      <c r="V391" s="78">
        <v>0.38</v>
      </c>
    </row>
    <row r="392" spans="21:22" ht="13.5">
      <c r="U392" s="78">
        <v>19100000</v>
      </c>
      <c r="V392" s="78">
        <v>0.38</v>
      </c>
    </row>
    <row r="393" spans="21:22" ht="13.5">
      <c r="U393" s="78">
        <v>19150000</v>
      </c>
      <c r="V393" s="78">
        <v>0.38</v>
      </c>
    </row>
    <row r="394" spans="21:22" ht="13.5">
      <c r="U394" s="78">
        <v>19200000</v>
      </c>
      <c r="V394" s="78">
        <v>0.38</v>
      </c>
    </row>
    <row r="395" spans="21:22" ht="13.5">
      <c r="U395" s="78">
        <v>19250000</v>
      </c>
      <c r="V395" s="78">
        <v>0.38</v>
      </c>
    </row>
    <row r="396" spans="21:22" ht="13.5">
      <c r="U396" s="78">
        <v>19300000</v>
      </c>
      <c r="V396" s="78">
        <v>0.38</v>
      </c>
    </row>
    <row r="397" spans="21:22" ht="13.5">
      <c r="U397" s="78">
        <v>19350000</v>
      </c>
      <c r="V397" s="78">
        <v>0.38</v>
      </c>
    </row>
    <row r="398" spans="21:22" ht="13.5">
      <c r="U398" s="78">
        <v>19400000</v>
      </c>
      <c r="V398" s="78">
        <v>0.38</v>
      </c>
    </row>
    <row r="399" spans="21:22" ht="13.5">
      <c r="U399" s="78">
        <v>19450000</v>
      </c>
      <c r="V399" s="78">
        <v>0.38</v>
      </c>
    </row>
    <row r="400" spans="21:22" ht="13.5">
      <c r="U400" s="78">
        <v>19500000</v>
      </c>
      <c r="V400" s="78">
        <v>0.38</v>
      </c>
    </row>
    <row r="401" spans="21:22" ht="13.5">
      <c r="U401" s="78">
        <v>19550000</v>
      </c>
      <c r="V401" s="78">
        <v>0.38</v>
      </c>
    </row>
    <row r="402" spans="21:22" ht="13.5">
      <c r="U402" s="78">
        <v>19600000</v>
      </c>
      <c r="V402" s="78">
        <v>0.38</v>
      </c>
    </row>
    <row r="403" spans="21:22" ht="13.5">
      <c r="U403" s="78">
        <v>19650000</v>
      </c>
      <c r="V403" s="78">
        <v>0.38</v>
      </c>
    </row>
    <row r="404" spans="21:22" ht="13.5">
      <c r="U404" s="78">
        <v>19700000</v>
      </c>
      <c r="V404" s="78">
        <v>0.38</v>
      </c>
    </row>
    <row r="405" spans="21:22" ht="13.5">
      <c r="U405" s="78">
        <v>19750000</v>
      </c>
      <c r="V405" s="78">
        <v>0.38</v>
      </c>
    </row>
    <row r="406" spans="21:22" ht="13.5">
      <c r="U406" s="78">
        <v>19800000</v>
      </c>
      <c r="V406" s="78">
        <v>0.38</v>
      </c>
    </row>
    <row r="407" spans="21:22" ht="13.5">
      <c r="U407" s="78">
        <v>19850000</v>
      </c>
      <c r="V407" s="78">
        <v>0.38</v>
      </c>
    </row>
    <row r="408" spans="21:22" ht="13.5">
      <c r="U408" s="78">
        <v>19900000</v>
      </c>
      <c r="V408" s="78">
        <v>0.38</v>
      </c>
    </row>
    <row r="409" spans="21:22" ht="13.5">
      <c r="U409" s="78">
        <v>19950000</v>
      </c>
      <c r="V409" s="78">
        <v>0.38</v>
      </c>
    </row>
    <row r="410" spans="21:22" ht="13.5">
      <c r="U410" s="78">
        <v>20000000</v>
      </c>
      <c r="V410" s="78">
        <v>0.38</v>
      </c>
    </row>
    <row r="411" spans="21:22" ht="13.5">
      <c r="U411" s="175">
        <v>20050000</v>
      </c>
      <c r="V411" s="180">
        <v>0.338</v>
      </c>
    </row>
    <row r="412" spans="21:22" ht="13.5">
      <c r="U412" s="175">
        <v>20100000</v>
      </c>
      <c r="V412" s="180">
        <v>0.338</v>
      </c>
    </row>
    <row r="413" spans="21:22" ht="13.5">
      <c r="U413" s="175">
        <v>20150000</v>
      </c>
      <c r="V413" s="180">
        <v>0.338</v>
      </c>
    </row>
    <row r="414" spans="21:22" ht="13.5">
      <c r="U414" s="175">
        <v>20200000</v>
      </c>
      <c r="V414" s="180">
        <v>0.338</v>
      </c>
    </row>
    <row r="415" spans="21:22" ht="13.5">
      <c r="U415" s="175">
        <v>20250000</v>
      </c>
      <c r="V415" s="180">
        <v>0.338</v>
      </c>
    </row>
    <row r="416" spans="21:22" ht="13.5">
      <c r="U416" s="175">
        <v>20300000</v>
      </c>
      <c r="V416" s="180">
        <v>0.338</v>
      </c>
    </row>
    <row r="417" spans="21:22" ht="13.5">
      <c r="U417" s="175">
        <v>20350000</v>
      </c>
      <c r="V417" s="180">
        <v>0.338</v>
      </c>
    </row>
    <row r="418" spans="21:22" ht="13.5">
      <c r="U418" s="175">
        <v>20400000</v>
      </c>
      <c r="V418" s="180">
        <v>0.338</v>
      </c>
    </row>
    <row r="419" spans="21:22" ht="13.5">
      <c r="U419" s="175">
        <v>20450000</v>
      </c>
      <c r="V419" s="180">
        <v>0.338</v>
      </c>
    </row>
    <row r="420" spans="21:22" ht="13.5">
      <c r="U420" s="175">
        <v>20500000</v>
      </c>
      <c r="V420" s="180">
        <v>0.338</v>
      </c>
    </row>
    <row r="421" spans="21:22" ht="13.5">
      <c r="U421" s="175">
        <v>20550000</v>
      </c>
      <c r="V421" s="180">
        <v>0.338</v>
      </c>
    </row>
    <row r="422" spans="21:22" ht="13.5">
      <c r="U422" s="175">
        <v>20600000</v>
      </c>
      <c r="V422" s="180">
        <v>0.338</v>
      </c>
    </row>
    <row r="423" spans="21:22" ht="13.5">
      <c r="U423" s="175">
        <v>20650000</v>
      </c>
      <c r="V423" s="180">
        <v>0.337</v>
      </c>
    </row>
    <row r="424" spans="21:22" ht="13.5">
      <c r="U424" s="175">
        <v>20700000</v>
      </c>
      <c r="V424" s="180">
        <v>0.337</v>
      </c>
    </row>
    <row r="425" spans="21:22" ht="13.5">
      <c r="U425" s="175">
        <v>20750000</v>
      </c>
      <c r="V425" s="180">
        <v>0.337</v>
      </c>
    </row>
    <row r="426" spans="21:22" ht="13.5">
      <c r="U426" s="175">
        <v>20800000</v>
      </c>
      <c r="V426" s="180">
        <v>0.337</v>
      </c>
    </row>
    <row r="427" spans="21:22" ht="13.5">
      <c r="U427" s="175">
        <v>20850000</v>
      </c>
      <c r="V427" s="180">
        <v>0.337</v>
      </c>
    </row>
    <row r="428" spans="21:22" ht="13.5">
      <c r="U428" s="175">
        <v>20900000</v>
      </c>
      <c r="V428" s="180">
        <v>0.337</v>
      </c>
    </row>
    <row r="429" spans="21:22" ht="13.5">
      <c r="U429" s="175">
        <v>20950000</v>
      </c>
      <c r="V429" s="180">
        <v>0.337</v>
      </c>
    </row>
    <row r="430" spans="21:22" ht="13.5">
      <c r="U430" s="175">
        <v>21000000</v>
      </c>
      <c r="V430" s="180">
        <v>0.337</v>
      </c>
    </row>
    <row r="431" spans="21:22" ht="13.5">
      <c r="U431" s="175">
        <v>21050000</v>
      </c>
      <c r="V431" s="180">
        <v>0.337</v>
      </c>
    </row>
    <row r="432" spans="21:22" ht="13.5">
      <c r="U432" s="175">
        <v>21100000</v>
      </c>
      <c r="V432" s="180">
        <v>0.337</v>
      </c>
    </row>
    <row r="433" spans="21:22" ht="13.5">
      <c r="U433" s="175">
        <v>21150000</v>
      </c>
      <c r="V433" s="180">
        <v>0.337</v>
      </c>
    </row>
    <row r="434" spans="21:22" ht="13.5">
      <c r="U434" s="175">
        <v>21200000</v>
      </c>
      <c r="V434" s="180">
        <v>0.337</v>
      </c>
    </row>
    <row r="435" spans="21:22" ht="13.5">
      <c r="U435" s="175">
        <v>21250000</v>
      </c>
      <c r="V435" s="180">
        <v>0.337</v>
      </c>
    </row>
    <row r="436" spans="21:22" ht="13.5">
      <c r="U436" s="175">
        <v>21300000</v>
      </c>
      <c r="V436" s="180">
        <v>0.337</v>
      </c>
    </row>
    <row r="437" spans="21:22" ht="13.5">
      <c r="U437" s="175">
        <v>21350000</v>
      </c>
      <c r="V437" s="180">
        <v>0.337</v>
      </c>
    </row>
    <row r="438" spans="21:22" ht="13.5">
      <c r="U438" s="175">
        <v>21400000</v>
      </c>
      <c r="V438" s="180">
        <v>0.337</v>
      </c>
    </row>
    <row r="439" spans="21:22" ht="13.5">
      <c r="U439" s="175">
        <v>21450000</v>
      </c>
      <c r="V439" s="180">
        <v>0.337</v>
      </c>
    </row>
    <row r="440" spans="21:22" ht="13.5">
      <c r="U440" s="175">
        <v>21500000</v>
      </c>
      <c r="V440" s="180">
        <v>0.337</v>
      </c>
    </row>
  </sheetData>
  <sheetProtection selectLockedCells="1"/>
  <mergeCells count="36">
    <mergeCell ref="B16:G17"/>
    <mergeCell ref="B18:G20"/>
    <mergeCell ref="B21:G22"/>
    <mergeCell ref="B23:G25"/>
    <mergeCell ref="B13:D14"/>
    <mergeCell ref="E13:H14"/>
    <mergeCell ref="B26:G26"/>
    <mergeCell ref="C5:D5"/>
    <mergeCell ref="F5:G5"/>
    <mergeCell ref="C8:D8"/>
    <mergeCell ref="B3:D3"/>
    <mergeCell ref="E3:G3"/>
    <mergeCell ref="C11:D11"/>
    <mergeCell ref="F11:G11"/>
    <mergeCell ref="C10:D10"/>
    <mergeCell ref="F10:G10"/>
    <mergeCell ref="B1:G1"/>
    <mergeCell ref="C6:D6"/>
    <mergeCell ref="C7:D7"/>
    <mergeCell ref="F6:G6"/>
    <mergeCell ref="F7:G7"/>
    <mergeCell ref="C9:D9"/>
    <mergeCell ref="F9:G9"/>
    <mergeCell ref="F8:G8"/>
    <mergeCell ref="P1:S1"/>
    <mergeCell ref="O2:S2"/>
    <mergeCell ref="O3:S3"/>
    <mergeCell ref="O4:S4"/>
    <mergeCell ref="P6:S6"/>
    <mergeCell ref="O7:S7"/>
    <mergeCell ref="O8:S8"/>
    <mergeCell ref="O9:S9"/>
    <mergeCell ref="M11:O11"/>
    <mergeCell ref="Q11:S11"/>
    <mergeCell ref="C12:D12"/>
    <mergeCell ref="F12:G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3:J9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421875" style="0" bestFit="1" customWidth="1"/>
    <col min="3" max="3" width="18.00390625" style="0" bestFit="1" customWidth="1"/>
    <col min="5" max="5" width="13.57421875" style="0" bestFit="1" customWidth="1"/>
    <col min="6" max="6" width="8.421875" style="0" bestFit="1" customWidth="1"/>
    <col min="8" max="9" width="9.8515625" style="0" bestFit="1" customWidth="1"/>
  </cols>
  <sheetData>
    <row r="2" ht="14.25" thickBot="1"/>
    <row r="3" spans="2:10" ht="24">
      <c r="B3" s="47" t="s">
        <v>43</v>
      </c>
      <c r="C3" s="48" t="s">
        <v>44</v>
      </c>
      <c r="E3" s="49" t="s">
        <v>19</v>
      </c>
      <c r="F3" s="49" t="s">
        <v>20</v>
      </c>
      <c r="H3" s="3">
        <v>2000001</v>
      </c>
      <c r="I3" s="3">
        <f>IF(H3&lt;E53+1,(INT((H3-1)/1000000)+1)*1000000,(INT((H3-1)/50000000)+1)*50000000)</f>
        <v>3000000</v>
      </c>
      <c r="J3" s="78">
        <f>VLOOKUP(I3,E4:F9999,2,0)</f>
        <v>11000</v>
      </c>
    </row>
    <row r="4" spans="2:6" ht="13.5">
      <c r="B4" s="50" t="s">
        <v>45</v>
      </c>
      <c r="C4" s="51">
        <v>5000</v>
      </c>
      <c r="E4" s="3">
        <v>1000000</v>
      </c>
      <c r="F4" s="3">
        <v>5000</v>
      </c>
    </row>
    <row r="5" spans="2:8" ht="13.5">
      <c r="B5" s="50" t="s">
        <v>46</v>
      </c>
      <c r="C5" s="51">
        <v>7000</v>
      </c>
      <c r="E5" s="3">
        <v>2000000</v>
      </c>
      <c r="F5" s="3">
        <v>7000</v>
      </c>
      <c r="H5">
        <f>VLOOKUP(IF(H3&lt;E53+1,(INT((H3-1)/1000000)+1)*1000000,(INT((H3-1)/50000000)+1)*50000000),E4:F9999,2,0)</f>
        <v>11000</v>
      </c>
    </row>
    <row r="6" spans="2:6" ht="13.5">
      <c r="B6" s="50" t="s">
        <v>47</v>
      </c>
      <c r="C6" s="51">
        <v>11000</v>
      </c>
      <c r="E6" s="3">
        <v>3000000</v>
      </c>
      <c r="F6" s="3">
        <v>11000</v>
      </c>
    </row>
    <row r="7" spans="2:6" ht="13.5">
      <c r="B7" s="50" t="s">
        <v>48</v>
      </c>
      <c r="C7" s="51">
        <v>17000</v>
      </c>
      <c r="E7" s="3">
        <v>4000000</v>
      </c>
      <c r="F7" s="3">
        <v>11000</v>
      </c>
    </row>
    <row r="8" spans="2:6" ht="13.5">
      <c r="B8" s="50" t="s">
        <v>49</v>
      </c>
      <c r="C8" s="51">
        <v>23000</v>
      </c>
      <c r="E8" s="3">
        <v>5000000</v>
      </c>
      <c r="F8" s="3">
        <v>11000</v>
      </c>
    </row>
    <row r="9" spans="2:6" ht="13.5">
      <c r="B9" s="50" t="s">
        <v>50</v>
      </c>
      <c r="C9" s="51">
        <v>29000</v>
      </c>
      <c r="E9" s="3">
        <v>6000000</v>
      </c>
      <c r="F9" s="3">
        <v>17000</v>
      </c>
    </row>
    <row r="10" spans="2:6" ht="13.5">
      <c r="B10" s="50" t="s">
        <v>51</v>
      </c>
      <c r="C10" s="51">
        <v>43000</v>
      </c>
      <c r="E10" s="3">
        <v>7000000</v>
      </c>
      <c r="F10" s="3">
        <v>17000</v>
      </c>
    </row>
    <row r="11" spans="2:6" ht="13.5">
      <c r="B11" s="683" t="s">
        <v>52</v>
      </c>
      <c r="C11" s="684"/>
      <c r="E11" s="3">
        <v>8000000</v>
      </c>
      <c r="F11" s="3">
        <v>17000</v>
      </c>
    </row>
    <row r="12" spans="2:6" ht="13.5">
      <c r="B12" s="683" t="s">
        <v>53</v>
      </c>
      <c r="C12" s="684"/>
      <c r="E12" s="3">
        <v>9000000</v>
      </c>
      <c r="F12" s="3">
        <v>17000</v>
      </c>
    </row>
    <row r="13" spans="2:6" ht="14.25" thickBot="1">
      <c r="B13" s="685" t="s">
        <v>54</v>
      </c>
      <c r="C13" s="686"/>
      <c r="E13" s="3">
        <v>10000000</v>
      </c>
      <c r="F13" s="3">
        <v>17000</v>
      </c>
    </row>
    <row r="14" spans="5:6" ht="13.5">
      <c r="E14" s="3">
        <v>11000000</v>
      </c>
      <c r="F14" s="3">
        <v>23000</v>
      </c>
    </row>
    <row r="15" spans="5:6" ht="13.5">
      <c r="E15" s="3">
        <v>12000000</v>
      </c>
      <c r="F15" s="3">
        <v>23000</v>
      </c>
    </row>
    <row r="16" spans="5:6" ht="13.5">
      <c r="E16" s="3">
        <v>13000000</v>
      </c>
      <c r="F16" s="3">
        <v>23000</v>
      </c>
    </row>
    <row r="17" spans="5:6" ht="13.5">
      <c r="E17" s="3">
        <v>14000000</v>
      </c>
      <c r="F17" s="3">
        <v>23000</v>
      </c>
    </row>
    <row r="18" spans="5:6" ht="13.5">
      <c r="E18" s="3">
        <v>15000000</v>
      </c>
      <c r="F18" s="3">
        <v>23000</v>
      </c>
    </row>
    <row r="19" spans="5:6" ht="13.5">
      <c r="E19" s="3">
        <v>16000000</v>
      </c>
      <c r="F19" s="3">
        <v>23000</v>
      </c>
    </row>
    <row r="20" spans="5:6" ht="13.5">
      <c r="E20" s="3">
        <v>17000000</v>
      </c>
      <c r="F20" s="3">
        <v>23000</v>
      </c>
    </row>
    <row r="21" spans="5:6" ht="13.5">
      <c r="E21" s="3">
        <v>18000000</v>
      </c>
      <c r="F21" s="3">
        <v>23000</v>
      </c>
    </row>
    <row r="22" spans="5:6" ht="13.5">
      <c r="E22" s="3">
        <v>19000000</v>
      </c>
      <c r="F22" s="3">
        <v>23000</v>
      </c>
    </row>
    <row r="23" spans="5:6" ht="13.5">
      <c r="E23" s="3">
        <v>20000000</v>
      </c>
      <c r="F23" s="3">
        <v>23000</v>
      </c>
    </row>
    <row r="24" spans="5:6" ht="13.5">
      <c r="E24" s="3">
        <v>21000000</v>
      </c>
      <c r="F24" s="3">
        <v>23000</v>
      </c>
    </row>
    <row r="25" spans="5:6" ht="13.5">
      <c r="E25" s="3">
        <v>22000000</v>
      </c>
      <c r="F25" s="3">
        <v>23000</v>
      </c>
    </row>
    <row r="26" spans="5:6" ht="13.5">
      <c r="E26" s="3">
        <v>23000000</v>
      </c>
      <c r="F26" s="3">
        <v>23000</v>
      </c>
    </row>
    <row r="27" spans="5:6" ht="13.5">
      <c r="E27" s="3">
        <v>24000000</v>
      </c>
      <c r="F27" s="3">
        <v>23000</v>
      </c>
    </row>
    <row r="28" spans="5:6" ht="13.5">
      <c r="E28" s="3">
        <v>25000000</v>
      </c>
      <c r="F28" s="3">
        <v>23000</v>
      </c>
    </row>
    <row r="29" spans="5:6" ht="13.5">
      <c r="E29" s="3">
        <v>26000000</v>
      </c>
      <c r="F29" s="3">
        <v>23000</v>
      </c>
    </row>
    <row r="30" spans="5:6" ht="13.5">
      <c r="E30" s="3">
        <v>27000000</v>
      </c>
      <c r="F30" s="3">
        <v>23000</v>
      </c>
    </row>
    <row r="31" spans="5:6" ht="13.5">
      <c r="E31" s="3">
        <v>28000000</v>
      </c>
      <c r="F31" s="3">
        <v>23000</v>
      </c>
    </row>
    <row r="32" spans="5:6" ht="13.5">
      <c r="E32" s="3">
        <v>29000000</v>
      </c>
      <c r="F32" s="3">
        <v>23000</v>
      </c>
    </row>
    <row r="33" spans="5:6" ht="13.5">
      <c r="E33" s="3">
        <v>30000000</v>
      </c>
      <c r="F33" s="3">
        <v>23000</v>
      </c>
    </row>
    <row r="34" spans="5:6" ht="13.5">
      <c r="E34" s="3">
        <v>31000000</v>
      </c>
      <c r="F34" s="3">
        <v>29000</v>
      </c>
    </row>
    <row r="35" spans="5:6" ht="13.5">
      <c r="E35" s="3">
        <v>32000000</v>
      </c>
      <c r="F35" s="3">
        <v>29000</v>
      </c>
    </row>
    <row r="36" spans="5:6" ht="13.5">
      <c r="E36" s="3">
        <v>33000000</v>
      </c>
      <c r="F36" s="3">
        <v>29000</v>
      </c>
    </row>
    <row r="37" spans="5:6" ht="13.5">
      <c r="E37" s="3">
        <v>34000000</v>
      </c>
      <c r="F37" s="3">
        <v>29000</v>
      </c>
    </row>
    <row r="38" spans="5:6" ht="13.5">
      <c r="E38" s="3">
        <v>35000000</v>
      </c>
      <c r="F38" s="3">
        <v>29000</v>
      </c>
    </row>
    <row r="39" spans="5:6" ht="13.5">
      <c r="E39" s="3">
        <v>36000000</v>
      </c>
      <c r="F39" s="3">
        <v>29000</v>
      </c>
    </row>
    <row r="40" spans="5:6" ht="13.5">
      <c r="E40" s="3">
        <v>37000000</v>
      </c>
      <c r="F40" s="3">
        <v>29000</v>
      </c>
    </row>
    <row r="41" spans="5:6" ht="13.5">
      <c r="E41" s="3">
        <v>38000000</v>
      </c>
      <c r="F41" s="3">
        <v>29000</v>
      </c>
    </row>
    <row r="42" spans="5:6" ht="13.5">
      <c r="E42" s="3">
        <v>39000000</v>
      </c>
      <c r="F42" s="3">
        <v>29000</v>
      </c>
    </row>
    <row r="43" spans="5:6" ht="13.5">
      <c r="E43" s="3">
        <v>40000000</v>
      </c>
      <c r="F43" s="3">
        <v>29000</v>
      </c>
    </row>
    <row r="44" spans="5:6" ht="13.5">
      <c r="E44" s="3">
        <v>41000000</v>
      </c>
      <c r="F44" s="3">
        <v>29000</v>
      </c>
    </row>
    <row r="45" spans="5:6" ht="13.5">
      <c r="E45" s="3">
        <v>42000000</v>
      </c>
      <c r="F45" s="3">
        <v>29000</v>
      </c>
    </row>
    <row r="46" spans="5:6" ht="13.5">
      <c r="E46" s="3">
        <v>43000000</v>
      </c>
      <c r="F46" s="3">
        <v>29000</v>
      </c>
    </row>
    <row r="47" spans="5:6" ht="13.5">
      <c r="E47" s="3">
        <v>44000000</v>
      </c>
      <c r="F47" s="3">
        <v>29000</v>
      </c>
    </row>
    <row r="48" spans="5:6" ht="13.5">
      <c r="E48" s="3">
        <v>45000000</v>
      </c>
      <c r="F48" s="3">
        <v>29000</v>
      </c>
    </row>
    <row r="49" spans="5:6" ht="13.5">
      <c r="E49" s="3">
        <v>46000000</v>
      </c>
      <c r="F49" s="3">
        <v>29000</v>
      </c>
    </row>
    <row r="50" spans="5:6" ht="13.5">
      <c r="E50" s="3">
        <v>47000000</v>
      </c>
      <c r="F50" s="3">
        <v>29000</v>
      </c>
    </row>
    <row r="51" spans="5:6" ht="13.5">
      <c r="E51" s="3">
        <v>48000000</v>
      </c>
      <c r="F51" s="3">
        <v>29000</v>
      </c>
    </row>
    <row r="52" spans="5:6" ht="13.5">
      <c r="E52" s="3">
        <v>49000000</v>
      </c>
      <c r="F52" s="3">
        <v>29000</v>
      </c>
    </row>
    <row r="53" spans="5:6" ht="14.25" thickBot="1">
      <c r="E53" s="52">
        <v>50000000</v>
      </c>
      <c r="F53" s="52">
        <v>29000</v>
      </c>
    </row>
    <row r="54" spans="5:6" ht="13.5">
      <c r="E54" s="53">
        <v>100000000</v>
      </c>
      <c r="F54" s="53">
        <v>43000</v>
      </c>
    </row>
    <row r="55" spans="5:6" ht="13.5">
      <c r="E55" s="3">
        <f>E54+50000000</f>
        <v>150000000</v>
      </c>
      <c r="F55" s="3">
        <f>F54+13000</f>
        <v>56000</v>
      </c>
    </row>
    <row r="56" spans="5:6" ht="13.5">
      <c r="E56" s="3">
        <f>E55+50000000</f>
        <v>200000000</v>
      </c>
      <c r="F56" s="3">
        <f>F55+13000</f>
        <v>69000</v>
      </c>
    </row>
    <row r="57" spans="5:6" ht="13.5">
      <c r="E57" s="3">
        <f>E56+50000000</f>
        <v>250000000</v>
      </c>
      <c r="F57" s="3">
        <f>F56+13000</f>
        <v>82000</v>
      </c>
    </row>
    <row r="58" spans="5:6" ht="13.5">
      <c r="E58" s="3">
        <f>E57+50000000</f>
        <v>300000000</v>
      </c>
      <c r="F58" s="3">
        <f>F57+13000</f>
        <v>95000</v>
      </c>
    </row>
    <row r="59" spans="5:6" ht="13.5">
      <c r="E59" s="3">
        <f>E58+50000000</f>
        <v>350000000</v>
      </c>
      <c r="F59" s="3">
        <f aca="true" t="shared" si="0" ref="F59:F72">F58+11000</f>
        <v>106000</v>
      </c>
    </row>
    <row r="60" spans="5:6" ht="13.5">
      <c r="E60" s="3">
        <f aca="true" t="shared" si="1" ref="E60:E90">E59+50000000</f>
        <v>400000000</v>
      </c>
      <c r="F60" s="3">
        <f t="shared" si="0"/>
        <v>117000</v>
      </c>
    </row>
    <row r="61" spans="5:6" ht="13.5">
      <c r="E61" s="3">
        <f t="shared" si="1"/>
        <v>450000000</v>
      </c>
      <c r="F61" s="3">
        <f t="shared" si="0"/>
        <v>128000</v>
      </c>
    </row>
    <row r="62" spans="5:6" ht="13.5">
      <c r="E62" s="3">
        <f t="shared" si="1"/>
        <v>500000000</v>
      </c>
      <c r="F62" s="3">
        <f t="shared" si="0"/>
        <v>139000</v>
      </c>
    </row>
    <row r="63" spans="5:6" ht="13.5">
      <c r="E63" s="3">
        <f t="shared" si="1"/>
        <v>550000000</v>
      </c>
      <c r="F63" s="3">
        <f t="shared" si="0"/>
        <v>150000</v>
      </c>
    </row>
    <row r="64" spans="5:6" ht="13.5">
      <c r="E64" s="3">
        <f t="shared" si="1"/>
        <v>600000000</v>
      </c>
      <c r="F64" s="3">
        <f t="shared" si="0"/>
        <v>161000</v>
      </c>
    </row>
    <row r="65" spans="5:6" ht="13.5">
      <c r="E65" s="3">
        <f t="shared" si="1"/>
        <v>650000000</v>
      </c>
      <c r="F65" s="3">
        <f t="shared" si="0"/>
        <v>172000</v>
      </c>
    </row>
    <row r="66" spans="5:6" ht="13.5">
      <c r="E66" s="3">
        <f t="shared" si="1"/>
        <v>700000000</v>
      </c>
      <c r="F66" s="3">
        <f t="shared" si="0"/>
        <v>183000</v>
      </c>
    </row>
    <row r="67" spans="5:6" ht="13.5">
      <c r="E67" s="3">
        <f t="shared" si="1"/>
        <v>750000000</v>
      </c>
      <c r="F67" s="3">
        <f t="shared" si="0"/>
        <v>194000</v>
      </c>
    </row>
    <row r="68" spans="5:6" ht="13.5">
      <c r="E68" s="3">
        <f t="shared" si="1"/>
        <v>800000000</v>
      </c>
      <c r="F68" s="3">
        <f t="shared" si="0"/>
        <v>205000</v>
      </c>
    </row>
    <row r="69" spans="5:6" ht="13.5">
      <c r="E69" s="3">
        <f t="shared" si="1"/>
        <v>850000000</v>
      </c>
      <c r="F69" s="3">
        <f t="shared" si="0"/>
        <v>216000</v>
      </c>
    </row>
    <row r="70" spans="5:6" ht="13.5">
      <c r="E70" s="3">
        <f t="shared" si="1"/>
        <v>900000000</v>
      </c>
      <c r="F70" s="3">
        <f t="shared" si="0"/>
        <v>227000</v>
      </c>
    </row>
    <row r="71" spans="5:6" ht="13.5">
      <c r="E71" s="3">
        <f t="shared" si="1"/>
        <v>950000000</v>
      </c>
      <c r="F71" s="3">
        <f t="shared" si="0"/>
        <v>238000</v>
      </c>
    </row>
    <row r="72" spans="5:6" ht="13.5">
      <c r="E72" s="3">
        <f t="shared" si="1"/>
        <v>1000000000</v>
      </c>
      <c r="F72" s="3">
        <f t="shared" si="0"/>
        <v>249000</v>
      </c>
    </row>
    <row r="73" spans="5:6" ht="13.5">
      <c r="E73" s="3">
        <f t="shared" si="1"/>
        <v>1050000000</v>
      </c>
      <c r="F73" s="3">
        <f>F72+8000</f>
        <v>257000</v>
      </c>
    </row>
    <row r="74" spans="5:6" ht="13.5">
      <c r="E74" s="3">
        <f t="shared" si="1"/>
        <v>1100000000</v>
      </c>
      <c r="F74" s="3">
        <f aca="true" t="shared" si="2" ref="F74:F90">F73+8000</f>
        <v>265000</v>
      </c>
    </row>
    <row r="75" spans="5:6" ht="13.5">
      <c r="E75" s="3">
        <f t="shared" si="1"/>
        <v>1150000000</v>
      </c>
      <c r="F75" s="3">
        <f t="shared" si="2"/>
        <v>273000</v>
      </c>
    </row>
    <row r="76" spans="5:6" ht="13.5">
      <c r="E76" s="3">
        <f t="shared" si="1"/>
        <v>1200000000</v>
      </c>
      <c r="F76" s="3">
        <f t="shared" si="2"/>
        <v>281000</v>
      </c>
    </row>
    <row r="77" spans="5:6" ht="13.5">
      <c r="E77" s="3">
        <f t="shared" si="1"/>
        <v>1250000000</v>
      </c>
      <c r="F77" s="3">
        <f t="shared" si="2"/>
        <v>289000</v>
      </c>
    </row>
    <row r="78" spans="5:6" ht="13.5">
      <c r="E78" s="3">
        <f t="shared" si="1"/>
        <v>1300000000</v>
      </c>
      <c r="F78" s="3">
        <f t="shared" si="2"/>
        <v>297000</v>
      </c>
    </row>
    <row r="79" spans="5:6" ht="13.5">
      <c r="E79" s="3">
        <f t="shared" si="1"/>
        <v>1350000000</v>
      </c>
      <c r="F79" s="3">
        <f t="shared" si="2"/>
        <v>305000</v>
      </c>
    </row>
    <row r="80" spans="5:6" ht="13.5">
      <c r="E80" s="3">
        <f t="shared" si="1"/>
        <v>1400000000</v>
      </c>
      <c r="F80" s="3">
        <f t="shared" si="2"/>
        <v>313000</v>
      </c>
    </row>
    <row r="81" spans="5:6" ht="13.5">
      <c r="E81" s="3">
        <f t="shared" si="1"/>
        <v>1450000000</v>
      </c>
      <c r="F81" s="3">
        <f t="shared" si="2"/>
        <v>321000</v>
      </c>
    </row>
    <row r="82" spans="5:6" ht="13.5">
      <c r="E82" s="3">
        <f t="shared" si="1"/>
        <v>1500000000</v>
      </c>
      <c r="F82" s="3">
        <f t="shared" si="2"/>
        <v>329000</v>
      </c>
    </row>
    <row r="83" spans="5:6" ht="13.5">
      <c r="E83" s="3">
        <f t="shared" si="1"/>
        <v>1550000000</v>
      </c>
      <c r="F83" s="3">
        <f t="shared" si="2"/>
        <v>337000</v>
      </c>
    </row>
    <row r="84" spans="5:6" ht="13.5">
      <c r="E84" s="3">
        <f t="shared" si="1"/>
        <v>1600000000</v>
      </c>
      <c r="F84" s="3">
        <f t="shared" si="2"/>
        <v>345000</v>
      </c>
    </row>
    <row r="85" spans="5:6" ht="13.5">
      <c r="E85" s="3">
        <f t="shared" si="1"/>
        <v>1650000000</v>
      </c>
      <c r="F85" s="3">
        <f t="shared" si="2"/>
        <v>353000</v>
      </c>
    </row>
    <row r="86" spans="5:6" ht="13.5">
      <c r="E86" s="3">
        <f t="shared" si="1"/>
        <v>1700000000</v>
      </c>
      <c r="F86" s="3">
        <f t="shared" si="2"/>
        <v>361000</v>
      </c>
    </row>
    <row r="87" spans="5:6" ht="13.5">
      <c r="E87" s="3">
        <f t="shared" si="1"/>
        <v>1750000000</v>
      </c>
      <c r="F87" s="3">
        <f t="shared" si="2"/>
        <v>369000</v>
      </c>
    </row>
    <row r="88" spans="5:6" ht="13.5">
      <c r="E88" s="3">
        <f t="shared" si="1"/>
        <v>1800000000</v>
      </c>
      <c r="F88" s="3">
        <f t="shared" si="2"/>
        <v>377000</v>
      </c>
    </row>
    <row r="89" spans="5:6" ht="13.5">
      <c r="E89" s="3">
        <f t="shared" si="1"/>
        <v>1850000000</v>
      </c>
      <c r="F89" s="3">
        <f t="shared" si="2"/>
        <v>385000</v>
      </c>
    </row>
    <row r="90" spans="5:6" ht="13.5">
      <c r="E90" s="3">
        <f t="shared" si="1"/>
        <v>1900000000</v>
      </c>
      <c r="F90" s="3">
        <f t="shared" si="2"/>
        <v>393000</v>
      </c>
    </row>
    <row r="91" spans="5:6" ht="13.5">
      <c r="E91" s="3">
        <f>E90+50000000</f>
        <v>1950000000</v>
      </c>
      <c r="F91" s="3">
        <f>F90+8000</f>
        <v>401000</v>
      </c>
    </row>
    <row r="92" spans="5:6" ht="13.5">
      <c r="E92" s="3">
        <f>E91+50000000</f>
        <v>2000000000</v>
      </c>
      <c r="F92" s="3">
        <f>F91+8000</f>
        <v>409000</v>
      </c>
    </row>
  </sheetData>
  <sheetProtection/>
  <mergeCells count="3">
    <mergeCell ref="B11:C11"/>
    <mergeCell ref="B12:C12"/>
    <mergeCell ref="B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S8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.421875" style="54" bestFit="1" customWidth="1"/>
    <col min="2" max="2" width="2.8515625" style="54" bestFit="1" customWidth="1"/>
    <col min="3" max="4" width="5.28125" style="54" bestFit="1" customWidth="1"/>
    <col min="5" max="44" width="4.00390625" style="54" customWidth="1"/>
    <col min="45" max="45" width="6.00390625" style="54" bestFit="1" customWidth="1"/>
    <col min="46" max="16384" width="9.00390625" style="54" customWidth="1"/>
  </cols>
  <sheetData>
    <row r="2" spans="3:8" ht="16.5" customHeight="1">
      <c r="C2" s="695" t="s">
        <v>55</v>
      </c>
      <c r="D2" s="695"/>
      <c r="E2" s="54" t="s">
        <v>56</v>
      </c>
      <c r="F2" s="54" t="s">
        <v>57</v>
      </c>
      <c r="G2" s="54" t="s">
        <v>58</v>
      </c>
      <c r="H2" s="54" t="s">
        <v>59</v>
      </c>
    </row>
    <row r="3" spans="2:45" ht="16.5" customHeight="1">
      <c r="B3" s="55" t="s">
        <v>60</v>
      </c>
      <c r="C3" s="56">
        <v>2000</v>
      </c>
      <c r="D3" s="56">
        <v>1409</v>
      </c>
      <c r="E3" s="692" t="s">
        <v>61</v>
      </c>
      <c r="F3" s="693"/>
      <c r="G3" s="693"/>
      <c r="H3" s="694"/>
      <c r="I3" s="57"/>
      <c r="J3" s="57"/>
      <c r="K3" s="57"/>
      <c r="L3" s="57"/>
      <c r="M3" s="57"/>
      <c r="N3" s="57"/>
      <c r="O3" s="58"/>
      <c r="P3" s="58"/>
      <c r="Q3" s="58"/>
      <c r="R3" s="58"/>
      <c r="S3" s="58"/>
      <c r="T3" s="57"/>
      <c r="U3" s="57"/>
      <c r="V3" s="57"/>
      <c r="W3" s="57"/>
      <c r="X3" s="57"/>
      <c r="Y3" s="58"/>
      <c r="Z3" s="58"/>
      <c r="AA3" s="58"/>
      <c r="AB3" s="58"/>
      <c r="AC3" s="58"/>
      <c r="AD3" s="57"/>
      <c r="AE3" s="57"/>
      <c r="AF3" s="57"/>
      <c r="AG3" s="57"/>
      <c r="AH3" s="57"/>
      <c r="AI3" s="57"/>
      <c r="AJ3" s="57"/>
      <c r="AK3" s="58"/>
      <c r="AL3" s="58"/>
      <c r="AM3" s="58"/>
      <c r="AN3" s="58"/>
      <c r="AO3" s="58"/>
      <c r="AP3" s="58"/>
      <c r="AQ3" s="57"/>
      <c r="AR3" s="57"/>
      <c r="AS3" s="57"/>
    </row>
    <row r="4" spans="2:45" ht="16.5" customHeight="1">
      <c r="B4" s="55" t="s">
        <v>62</v>
      </c>
      <c r="C4" s="59">
        <v>1975</v>
      </c>
      <c r="D4" s="59">
        <v>1391</v>
      </c>
      <c r="E4" s="58"/>
      <c r="F4" s="58"/>
      <c r="G4" s="58"/>
      <c r="H4" s="58"/>
      <c r="I4" s="57"/>
      <c r="J4" s="57"/>
      <c r="K4" s="57"/>
      <c r="L4" s="57"/>
      <c r="M4" s="57"/>
      <c r="N4" s="58"/>
      <c r="O4" s="58"/>
      <c r="P4" s="58"/>
      <c r="Q4" s="58"/>
      <c r="R4" s="58"/>
      <c r="S4" s="57"/>
      <c r="T4" s="57"/>
      <c r="U4" s="57"/>
      <c r="V4" s="57"/>
      <c r="W4" s="57"/>
      <c r="X4" s="58"/>
      <c r="Y4" s="58"/>
      <c r="Z4" s="58"/>
      <c r="AA4" s="58"/>
      <c r="AB4" s="58"/>
      <c r="AC4" s="57"/>
      <c r="AD4" s="57"/>
      <c r="AE4" s="57"/>
      <c r="AF4" s="57"/>
      <c r="AG4" s="57"/>
      <c r="AH4" s="57"/>
      <c r="AI4" s="58"/>
      <c r="AJ4" s="58"/>
      <c r="AK4" s="58"/>
      <c r="AL4" s="58"/>
      <c r="AM4" s="58"/>
      <c r="AN4" s="58"/>
      <c r="AO4" s="58"/>
      <c r="AP4" s="57"/>
      <c r="AQ4" s="57"/>
      <c r="AR4" s="57"/>
      <c r="AS4" s="57"/>
    </row>
    <row r="5" spans="2:45" ht="16.5" customHeight="1">
      <c r="B5" s="55" t="s">
        <v>63</v>
      </c>
      <c r="C5" s="59">
        <v>1950</v>
      </c>
      <c r="D5" s="59">
        <v>1373</v>
      </c>
      <c r="E5" s="58"/>
      <c r="F5" s="58"/>
      <c r="G5" s="58"/>
      <c r="H5" s="57"/>
      <c r="I5" s="57"/>
      <c r="J5" s="57"/>
      <c r="K5" s="57"/>
      <c r="L5" s="57"/>
      <c r="M5" s="58"/>
      <c r="N5" s="58"/>
      <c r="O5" s="58"/>
      <c r="P5" s="58"/>
      <c r="Q5" s="58"/>
      <c r="R5" s="57"/>
      <c r="S5" s="57"/>
      <c r="T5" s="57"/>
      <c r="U5" s="57"/>
      <c r="V5" s="57"/>
      <c r="W5" s="58"/>
      <c r="X5" s="58"/>
      <c r="Y5" s="58"/>
      <c r="Z5" s="58"/>
      <c r="AA5" s="58"/>
      <c r="AB5" s="57"/>
      <c r="AC5" s="57"/>
      <c r="AD5" s="57"/>
      <c r="AE5" s="57"/>
      <c r="AF5" s="57"/>
      <c r="AG5" s="57"/>
      <c r="AH5" s="58"/>
      <c r="AI5" s="58"/>
      <c r="AJ5" s="58"/>
      <c r="AK5" s="58"/>
      <c r="AL5" s="58"/>
      <c r="AM5" s="58"/>
      <c r="AN5" s="58"/>
      <c r="AO5" s="57"/>
      <c r="AP5" s="57"/>
      <c r="AQ5" s="57"/>
      <c r="AR5" s="57"/>
      <c r="AS5" s="57"/>
    </row>
    <row r="6" spans="2:45" ht="16.5" customHeight="1">
      <c r="B6" s="55" t="s">
        <v>64</v>
      </c>
      <c r="C6" s="59">
        <v>1925</v>
      </c>
      <c r="D6" s="59">
        <v>1356</v>
      </c>
      <c r="E6" s="58"/>
      <c r="F6" s="58"/>
      <c r="G6" s="57"/>
      <c r="H6" s="57"/>
      <c r="I6" s="57"/>
      <c r="J6" s="57"/>
      <c r="K6" s="57"/>
      <c r="L6" s="58"/>
      <c r="M6" s="58"/>
      <c r="N6" s="58"/>
      <c r="O6" s="58"/>
      <c r="P6" s="58"/>
      <c r="Q6" s="57"/>
      <c r="R6" s="57"/>
      <c r="S6" s="57"/>
      <c r="T6" s="57"/>
      <c r="U6" s="57"/>
      <c r="V6" s="58"/>
      <c r="W6" s="58"/>
      <c r="X6" s="58"/>
      <c r="Y6" s="58"/>
      <c r="Z6" s="58"/>
      <c r="AA6" s="57"/>
      <c r="AB6" s="57"/>
      <c r="AC6" s="57"/>
      <c r="AD6" s="57"/>
      <c r="AE6" s="57"/>
      <c r="AF6" s="57"/>
      <c r="AG6" s="58"/>
      <c r="AH6" s="58"/>
      <c r="AI6" s="58"/>
      <c r="AJ6" s="58"/>
      <c r="AK6" s="58"/>
      <c r="AL6" s="58"/>
      <c r="AM6" s="57"/>
      <c r="AN6" s="57"/>
      <c r="AO6" s="57"/>
      <c r="AP6" s="57"/>
      <c r="AQ6" s="57"/>
      <c r="AR6" s="57"/>
      <c r="AS6" s="58"/>
    </row>
    <row r="7" spans="2:45" ht="16.5" customHeight="1">
      <c r="B7" s="55" t="s">
        <v>65</v>
      </c>
      <c r="C7" s="59">
        <v>1900</v>
      </c>
      <c r="D7" s="59">
        <v>1338</v>
      </c>
      <c r="E7" s="58"/>
      <c r="F7" s="57"/>
      <c r="G7" s="57"/>
      <c r="H7" s="57"/>
      <c r="I7" s="57"/>
      <c r="J7" s="57"/>
      <c r="K7" s="58"/>
      <c r="L7" s="58"/>
      <c r="M7" s="58"/>
      <c r="N7" s="58"/>
      <c r="O7" s="58"/>
      <c r="P7" s="57"/>
      <c r="Q7" s="57"/>
      <c r="R7" s="57"/>
      <c r="S7" s="57"/>
      <c r="T7" s="57"/>
      <c r="U7" s="58"/>
      <c r="V7" s="58"/>
      <c r="W7" s="58"/>
      <c r="X7" s="58"/>
      <c r="Y7" s="58"/>
      <c r="Z7" s="57"/>
      <c r="AA7" s="57"/>
      <c r="AB7" s="57"/>
      <c r="AC7" s="57"/>
      <c r="AD7" s="57"/>
      <c r="AE7" s="57"/>
      <c r="AF7" s="58"/>
      <c r="AG7" s="58"/>
      <c r="AH7" s="58"/>
      <c r="AI7" s="58"/>
      <c r="AJ7" s="58"/>
      <c r="AK7" s="58"/>
      <c r="AL7" s="57"/>
      <c r="AM7" s="57"/>
      <c r="AN7" s="57"/>
      <c r="AO7" s="57"/>
      <c r="AP7" s="57"/>
      <c r="AQ7" s="57"/>
      <c r="AR7" s="58"/>
      <c r="AS7" s="58"/>
    </row>
    <row r="8" spans="2:45" ht="16.5" customHeight="1">
      <c r="B8" s="55" t="s">
        <v>66</v>
      </c>
      <c r="C8" s="59">
        <v>1875</v>
      </c>
      <c r="D8" s="59">
        <v>1320</v>
      </c>
      <c r="E8" s="57"/>
      <c r="F8" s="689" t="s">
        <v>67</v>
      </c>
      <c r="G8" s="690"/>
      <c r="H8" s="690"/>
      <c r="I8" s="691"/>
      <c r="J8" s="58"/>
      <c r="K8" s="58"/>
      <c r="L8" s="58"/>
      <c r="M8" s="58"/>
      <c r="N8" s="58"/>
      <c r="O8" s="57"/>
      <c r="P8" s="57"/>
      <c r="Q8" s="57"/>
      <c r="R8" s="57"/>
      <c r="S8" s="57"/>
      <c r="T8" s="58"/>
      <c r="U8" s="58"/>
      <c r="V8" s="58"/>
      <c r="W8" s="58"/>
      <c r="X8" s="58"/>
      <c r="Y8" s="58"/>
      <c r="Z8" s="57"/>
      <c r="AA8" s="57"/>
      <c r="AB8" s="57"/>
      <c r="AC8" s="57"/>
      <c r="AD8" s="57"/>
      <c r="AE8" s="58"/>
      <c r="AF8" s="58"/>
      <c r="AG8" s="58"/>
      <c r="AH8" s="58"/>
      <c r="AI8" s="58"/>
      <c r="AJ8" s="58"/>
      <c r="AK8" s="57"/>
      <c r="AL8" s="57"/>
      <c r="AM8" s="57"/>
      <c r="AN8" s="57"/>
      <c r="AO8" s="57"/>
      <c r="AP8" s="57"/>
      <c r="AQ8" s="58"/>
      <c r="AR8" s="58"/>
      <c r="AS8" s="58"/>
    </row>
    <row r="9" spans="2:45" ht="16.5" customHeight="1">
      <c r="B9" s="55" t="s">
        <v>68</v>
      </c>
      <c r="C9" s="59">
        <v>1850</v>
      </c>
      <c r="D9" s="59">
        <v>1302</v>
      </c>
      <c r="E9" s="57"/>
      <c r="F9" s="57"/>
      <c r="G9" s="57"/>
      <c r="H9" s="57"/>
      <c r="I9" s="58"/>
      <c r="J9" s="58"/>
      <c r="K9" s="58"/>
      <c r="L9" s="58"/>
      <c r="M9" s="58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7"/>
      <c r="Z9" s="57"/>
      <c r="AA9" s="57"/>
      <c r="AB9" s="57"/>
      <c r="AC9" s="57"/>
      <c r="AD9" s="58"/>
      <c r="AE9" s="58"/>
      <c r="AF9" s="58"/>
      <c r="AG9" s="58"/>
      <c r="AH9" s="58"/>
      <c r="AI9" s="58"/>
      <c r="AJ9" s="57"/>
      <c r="AK9" s="57"/>
      <c r="AL9" s="57"/>
      <c r="AM9" s="57"/>
      <c r="AN9" s="57"/>
      <c r="AO9" s="57"/>
      <c r="AP9" s="58"/>
      <c r="AQ9" s="58"/>
      <c r="AR9" s="58"/>
      <c r="AS9" s="58"/>
    </row>
    <row r="10" spans="2:45" ht="16.5" customHeight="1">
      <c r="B10" s="55" t="s">
        <v>69</v>
      </c>
      <c r="C10" s="59">
        <v>1825</v>
      </c>
      <c r="D10" s="59">
        <v>1284</v>
      </c>
      <c r="E10" s="57"/>
      <c r="F10" s="57"/>
      <c r="G10" s="57"/>
      <c r="H10" s="58"/>
      <c r="I10" s="58"/>
      <c r="J10" s="58"/>
      <c r="K10" s="58"/>
      <c r="L10" s="58"/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7"/>
      <c r="Y10" s="57"/>
      <c r="Z10" s="57"/>
      <c r="AA10" s="57"/>
      <c r="AB10" s="57"/>
      <c r="AC10" s="58"/>
      <c r="AD10" s="58"/>
      <c r="AE10" s="58"/>
      <c r="AF10" s="58"/>
      <c r="AG10" s="58"/>
      <c r="AH10" s="58"/>
      <c r="AI10" s="57"/>
      <c r="AJ10" s="57"/>
      <c r="AK10" s="57"/>
      <c r="AL10" s="57"/>
      <c r="AM10" s="57"/>
      <c r="AN10" s="57"/>
      <c r="AO10" s="58"/>
      <c r="AP10" s="58"/>
      <c r="AQ10" s="58"/>
      <c r="AR10" s="58"/>
      <c r="AS10" s="58"/>
    </row>
    <row r="11" spans="2:45" ht="16.5" customHeight="1">
      <c r="B11" s="55" t="s">
        <v>70</v>
      </c>
      <c r="C11" s="59">
        <v>1800</v>
      </c>
      <c r="D11" s="59">
        <v>1267</v>
      </c>
      <c r="E11" s="57"/>
      <c r="F11" s="57"/>
      <c r="G11" s="57"/>
      <c r="H11" s="58"/>
      <c r="I11" s="58"/>
      <c r="J11" s="58"/>
      <c r="K11" s="58"/>
      <c r="L11" s="58"/>
      <c r="M11" s="57"/>
      <c r="N11" s="57"/>
      <c r="O11" s="57"/>
      <c r="P11" s="57"/>
      <c r="Q11" s="57"/>
      <c r="R11" s="58"/>
      <c r="S11" s="58"/>
      <c r="T11" s="58"/>
      <c r="U11" s="58"/>
      <c r="V11" s="58"/>
      <c r="W11" s="57"/>
      <c r="X11" s="57"/>
      <c r="Y11" s="57"/>
      <c r="Z11" s="57"/>
      <c r="AA11" s="57"/>
      <c r="AB11" s="58"/>
      <c r="AC11" s="58"/>
      <c r="AD11" s="58"/>
      <c r="AE11" s="58"/>
      <c r="AF11" s="58"/>
      <c r="AG11" s="58"/>
      <c r="AH11" s="57"/>
      <c r="AI11" s="57"/>
      <c r="AJ11" s="57"/>
      <c r="AK11" s="57"/>
      <c r="AL11" s="57"/>
      <c r="AM11" s="57"/>
      <c r="AN11" s="58"/>
      <c r="AO11" s="58"/>
      <c r="AP11" s="58"/>
      <c r="AQ11" s="58"/>
      <c r="AR11" s="58"/>
      <c r="AS11" s="58"/>
    </row>
    <row r="12" spans="2:45" ht="16.5" customHeight="1">
      <c r="B12" s="55" t="s">
        <v>71</v>
      </c>
      <c r="C12" s="59">
        <v>1775</v>
      </c>
      <c r="D12" s="59">
        <v>1249</v>
      </c>
      <c r="E12" s="57"/>
      <c r="F12" s="57"/>
      <c r="G12" s="58"/>
      <c r="H12" s="58"/>
      <c r="I12" s="58"/>
      <c r="J12" s="58"/>
      <c r="K12" s="58"/>
      <c r="L12" s="57"/>
      <c r="M12" s="57"/>
      <c r="N12" s="57"/>
      <c r="O12" s="57"/>
      <c r="P12" s="57"/>
      <c r="Q12" s="58"/>
      <c r="R12" s="58"/>
      <c r="S12" s="58"/>
      <c r="T12" s="58"/>
      <c r="U12" s="58"/>
      <c r="V12" s="57"/>
      <c r="W12" s="57"/>
      <c r="X12" s="57"/>
      <c r="Y12" s="57"/>
      <c r="Z12" s="57"/>
      <c r="AA12" s="58"/>
      <c r="AB12" s="58"/>
      <c r="AC12" s="58"/>
      <c r="AD12" s="58"/>
      <c r="AE12" s="58"/>
      <c r="AF12" s="58"/>
      <c r="AG12" s="57"/>
      <c r="AH12" s="57"/>
      <c r="AI12" s="57"/>
      <c r="AJ12" s="57"/>
      <c r="AK12" s="57"/>
      <c r="AL12" s="57"/>
      <c r="AM12" s="58"/>
      <c r="AN12" s="58"/>
      <c r="AO12" s="58"/>
      <c r="AP12" s="58"/>
      <c r="AQ12" s="58"/>
      <c r="AR12" s="58"/>
      <c r="AS12" s="57"/>
    </row>
    <row r="13" spans="2:45" ht="16.5" customHeight="1">
      <c r="B13" s="55" t="s">
        <v>72</v>
      </c>
      <c r="C13" s="59">
        <v>1750</v>
      </c>
      <c r="D13" s="59">
        <v>1232</v>
      </c>
      <c r="E13" s="57"/>
      <c r="F13" s="58"/>
      <c r="G13" s="58"/>
      <c r="H13" s="58"/>
      <c r="I13" s="58"/>
      <c r="J13" s="58"/>
      <c r="K13" s="57"/>
      <c r="L13" s="57"/>
      <c r="M13" s="57"/>
      <c r="N13" s="57"/>
      <c r="O13" s="57"/>
      <c r="P13" s="58"/>
      <c r="Q13" s="58"/>
      <c r="R13" s="58"/>
      <c r="S13" s="58"/>
      <c r="T13" s="58"/>
      <c r="U13" s="57"/>
      <c r="V13" s="57"/>
      <c r="W13" s="57"/>
      <c r="X13" s="57"/>
      <c r="Y13" s="57"/>
      <c r="Z13" s="58"/>
      <c r="AA13" s="58"/>
      <c r="AB13" s="58"/>
      <c r="AC13" s="58"/>
      <c r="AD13" s="58"/>
      <c r="AE13" s="58"/>
      <c r="AF13" s="57"/>
      <c r="AG13" s="57"/>
      <c r="AH13" s="57"/>
      <c r="AI13" s="57"/>
      <c r="AJ13" s="57"/>
      <c r="AK13" s="57"/>
      <c r="AL13" s="58"/>
      <c r="AM13" s="58"/>
      <c r="AN13" s="58"/>
      <c r="AO13" s="58"/>
      <c r="AP13" s="58"/>
      <c r="AQ13" s="58"/>
      <c r="AR13" s="57"/>
      <c r="AS13" s="57"/>
    </row>
    <row r="14" spans="3:45" ht="16.5" customHeight="1">
      <c r="C14" s="59">
        <v>1725</v>
      </c>
      <c r="D14" s="59">
        <v>1214</v>
      </c>
      <c r="E14" s="58"/>
      <c r="F14" s="692" t="s">
        <v>73</v>
      </c>
      <c r="G14" s="693"/>
      <c r="H14" s="693"/>
      <c r="I14" s="694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7"/>
      <c r="U14" s="57"/>
      <c r="V14" s="57"/>
      <c r="W14" s="57"/>
      <c r="X14" s="57"/>
      <c r="Y14" s="57"/>
      <c r="Z14" s="58"/>
      <c r="AA14" s="58"/>
      <c r="AB14" s="58"/>
      <c r="AC14" s="58"/>
      <c r="AD14" s="58"/>
      <c r="AE14" s="57"/>
      <c r="AF14" s="57"/>
      <c r="AG14" s="57"/>
      <c r="AH14" s="57"/>
      <c r="AI14" s="57"/>
      <c r="AJ14" s="57"/>
      <c r="AK14" s="58"/>
      <c r="AL14" s="58"/>
      <c r="AM14" s="58"/>
      <c r="AN14" s="58"/>
      <c r="AO14" s="58"/>
      <c r="AP14" s="58"/>
      <c r="AQ14" s="57"/>
      <c r="AR14" s="57"/>
      <c r="AS14" s="57"/>
    </row>
    <row r="15" spans="3:45" ht="16.5" customHeight="1">
      <c r="C15" s="59">
        <v>1700</v>
      </c>
      <c r="D15" s="59">
        <v>1197</v>
      </c>
      <c r="E15" s="58"/>
      <c r="F15" s="58"/>
      <c r="G15" s="58"/>
      <c r="H15" s="58"/>
      <c r="I15" s="57"/>
      <c r="J15" s="57"/>
      <c r="K15" s="57"/>
      <c r="L15" s="57"/>
      <c r="M15" s="57"/>
      <c r="N15" s="58"/>
      <c r="O15" s="58"/>
      <c r="P15" s="58"/>
      <c r="Q15" s="58"/>
      <c r="R15" s="58"/>
      <c r="S15" s="57"/>
      <c r="T15" s="57"/>
      <c r="U15" s="57"/>
      <c r="V15" s="57"/>
      <c r="W15" s="57"/>
      <c r="X15" s="57"/>
      <c r="Y15" s="58"/>
      <c r="Z15" s="58"/>
      <c r="AA15" s="58"/>
      <c r="AB15" s="58"/>
      <c r="AC15" s="58"/>
      <c r="AD15" s="57"/>
      <c r="AE15" s="57"/>
      <c r="AF15" s="57"/>
      <c r="AG15" s="57"/>
      <c r="AH15" s="57"/>
      <c r="AI15" s="57"/>
      <c r="AJ15" s="58"/>
      <c r="AK15" s="58"/>
      <c r="AL15" s="58"/>
      <c r="AM15" s="58"/>
      <c r="AN15" s="58"/>
      <c r="AO15" s="58"/>
      <c r="AP15" s="57"/>
      <c r="AQ15" s="57"/>
      <c r="AR15" s="57"/>
      <c r="AS15" s="57"/>
    </row>
    <row r="16" spans="3:45" ht="16.5" customHeight="1">
      <c r="C16" s="59">
        <v>1675</v>
      </c>
      <c r="D16" s="59">
        <v>1179</v>
      </c>
      <c r="E16" s="58"/>
      <c r="F16" s="58"/>
      <c r="G16" s="58"/>
      <c r="H16" s="57"/>
      <c r="I16" s="57"/>
      <c r="J16" s="57"/>
      <c r="K16" s="57"/>
      <c r="L16" s="57"/>
      <c r="M16" s="57"/>
      <c r="N16" s="58"/>
      <c r="O16" s="58"/>
      <c r="P16" s="58"/>
      <c r="Q16" s="58"/>
      <c r="R16" s="58"/>
      <c r="S16" s="57"/>
      <c r="T16" s="57"/>
      <c r="U16" s="57"/>
      <c r="V16" s="57"/>
      <c r="W16" s="57"/>
      <c r="X16" s="58"/>
      <c r="Y16" s="58"/>
      <c r="Z16" s="58"/>
      <c r="AA16" s="58"/>
      <c r="AB16" s="58"/>
      <c r="AC16" s="57"/>
      <c r="AD16" s="57"/>
      <c r="AE16" s="57"/>
      <c r="AF16" s="57"/>
      <c r="AG16" s="57"/>
      <c r="AH16" s="57"/>
      <c r="AI16" s="58"/>
      <c r="AJ16" s="58"/>
      <c r="AK16" s="58"/>
      <c r="AL16" s="58"/>
      <c r="AM16" s="58"/>
      <c r="AN16" s="58"/>
      <c r="AO16" s="57"/>
      <c r="AP16" s="57"/>
      <c r="AQ16" s="57"/>
      <c r="AR16" s="57"/>
      <c r="AS16" s="57"/>
    </row>
    <row r="17" spans="3:45" ht="16.5" customHeight="1">
      <c r="C17" s="59">
        <v>1650</v>
      </c>
      <c r="D17" s="59">
        <v>1162</v>
      </c>
      <c r="E17" s="58"/>
      <c r="F17" s="58"/>
      <c r="G17" s="58"/>
      <c r="H17" s="57"/>
      <c r="I17" s="57"/>
      <c r="J17" s="57"/>
      <c r="K17" s="57"/>
      <c r="L17" s="57"/>
      <c r="M17" s="58"/>
      <c r="N17" s="58"/>
      <c r="O17" s="58"/>
      <c r="P17" s="58"/>
      <c r="Q17" s="58"/>
      <c r="R17" s="57"/>
      <c r="S17" s="57"/>
      <c r="T17" s="57"/>
      <c r="U17" s="57"/>
      <c r="V17" s="57"/>
      <c r="W17" s="58"/>
      <c r="X17" s="58"/>
      <c r="Y17" s="58"/>
      <c r="Z17" s="58"/>
      <c r="AA17" s="58"/>
      <c r="AB17" s="57"/>
      <c r="AC17" s="57"/>
      <c r="AD17" s="57"/>
      <c r="AE17" s="57"/>
      <c r="AF17" s="57"/>
      <c r="AG17" s="57"/>
      <c r="AH17" s="58"/>
      <c r="AI17" s="58"/>
      <c r="AJ17" s="58"/>
      <c r="AK17" s="58"/>
      <c r="AL17" s="58"/>
      <c r="AM17" s="58"/>
      <c r="AN17" s="57"/>
      <c r="AO17" s="57"/>
      <c r="AP17" s="57"/>
      <c r="AQ17" s="57"/>
      <c r="AR17" s="57"/>
      <c r="AS17" s="57"/>
    </row>
    <row r="18" spans="3:45" ht="16.5" customHeight="1">
      <c r="C18" s="59">
        <v>1625</v>
      </c>
      <c r="D18" s="59">
        <v>1144</v>
      </c>
      <c r="E18" s="58"/>
      <c r="F18" s="58"/>
      <c r="G18" s="57"/>
      <c r="H18" s="57"/>
      <c r="I18" s="57"/>
      <c r="J18" s="57"/>
      <c r="K18" s="57"/>
      <c r="L18" s="58"/>
      <c r="M18" s="58"/>
      <c r="N18" s="58"/>
      <c r="O18" s="58"/>
      <c r="P18" s="58"/>
      <c r="Q18" s="57"/>
      <c r="R18" s="57"/>
      <c r="S18" s="57"/>
      <c r="T18" s="57"/>
      <c r="U18" s="57"/>
      <c r="V18" s="58"/>
      <c r="W18" s="58"/>
      <c r="X18" s="58"/>
      <c r="Y18" s="58"/>
      <c r="Z18" s="58"/>
      <c r="AA18" s="57"/>
      <c r="AB18" s="57"/>
      <c r="AC18" s="57"/>
      <c r="AD18" s="57"/>
      <c r="AE18" s="57"/>
      <c r="AF18" s="57"/>
      <c r="AG18" s="58"/>
      <c r="AH18" s="58"/>
      <c r="AI18" s="58"/>
      <c r="AJ18" s="58"/>
      <c r="AK18" s="58"/>
      <c r="AL18" s="58"/>
      <c r="AM18" s="57"/>
      <c r="AN18" s="57"/>
      <c r="AO18" s="57"/>
      <c r="AP18" s="57"/>
      <c r="AQ18" s="57"/>
      <c r="AR18" s="57"/>
      <c r="AS18" s="58"/>
    </row>
    <row r="19" spans="3:45" ht="16.5" customHeight="1">
      <c r="C19" s="59">
        <v>1600</v>
      </c>
      <c r="D19" s="59">
        <v>1127</v>
      </c>
      <c r="E19" s="58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7"/>
      <c r="Q19" s="57"/>
      <c r="R19" s="57"/>
      <c r="S19" s="57"/>
      <c r="T19" s="57"/>
      <c r="U19" s="58"/>
      <c r="V19" s="58"/>
      <c r="W19" s="58"/>
      <c r="X19" s="58"/>
      <c r="Y19" s="58"/>
      <c r="Z19" s="58"/>
      <c r="AA19" s="57"/>
      <c r="AB19" s="57"/>
      <c r="AC19" s="57"/>
      <c r="AD19" s="57"/>
      <c r="AE19" s="57"/>
      <c r="AF19" s="58"/>
      <c r="AG19" s="58"/>
      <c r="AH19" s="58"/>
      <c r="AI19" s="58"/>
      <c r="AJ19" s="58"/>
      <c r="AK19" s="58"/>
      <c r="AL19" s="57"/>
      <c r="AM19" s="57"/>
      <c r="AN19" s="57"/>
      <c r="AO19" s="57"/>
      <c r="AP19" s="57"/>
      <c r="AQ19" s="57"/>
      <c r="AR19" s="58"/>
      <c r="AS19" s="58"/>
    </row>
    <row r="20" spans="3:45" ht="16.5" customHeight="1">
      <c r="C20" s="59">
        <v>1575</v>
      </c>
      <c r="D20" s="59">
        <v>1109</v>
      </c>
      <c r="E20" s="58"/>
      <c r="F20" s="689" t="s">
        <v>74</v>
      </c>
      <c r="G20" s="690"/>
      <c r="H20" s="690"/>
      <c r="I20" s="691"/>
      <c r="J20" s="58"/>
      <c r="K20" s="58"/>
      <c r="L20" s="58"/>
      <c r="M20" s="58"/>
      <c r="N20" s="58"/>
      <c r="O20" s="57"/>
      <c r="P20" s="57"/>
      <c r="Q20" s="57"/>
      <c r="R20" s="57"/>
      <c r="S20" s="57"/>
      <c r="T20" s="57"/>
      <c r="U20" s="58"/>
      <c r="V20" s="58"/>
      <c r="W20" s="58"/>
      <c r="X20" s="58"/>
      <c r="Y20" s="58"/>
      <c r="Z20" s="57"/>
      <c r="AA20" s="57"/>
      <c r="AB20" s="57"/>
      <c r="AC20" s="57"/>
      <c r="AD20" s="57"/>
      <c r="AE20" s="58"/>
      <c r="AF20" s="58"/>
      <c r="AG20" s="58"/>
      <c r="AH20" s="58"/>
      <c r="AI20" s="58"/>
      <c r="AJ20" s="58"/>
      <c r="AK20" s="57"/>
      <c r="AL20" s="57"/>
      <c r="AM20" s="57"/>
      <c r="AN20" s="57"/>
      <c r="AO20" s="57"/>
      <c r="AP20" s="57"/>
      <c r="AQ20" s="57"/>
      <c r="AR20" s="58"/>
      <c r="AS20" s="58"/>
    </row>
    <row r="21" spans="3:45" ht="16.5" customHeight="1">
      <c r="C21" s="59">
        <v>1550</v>
      </c>
      <c r="D21" s="59">
        <v>1092</v>
      </c>
      <c r="E21" s="57"/>
      <c r="F21" s="57"/>
      <c r="G21" s="57"/>
      <c r="H21" s="57"/>
      <c r="I21" s="58"/>
      <c r="J21" s="58"/>
      <c r="K21" s="58"/>
      <c r="L21" s="58"/>
      <c r="M21" s="58"/>
      <c r="N21" s="58"/>
      <c r="O21" s="57"/>
      <c r="P21" s="57"/>
      <c r="Q21" s="57"/>
      <c r="R21" s="57"/>
      <c r="S21" s="57"/>
      <c r="T21" s="58"/>
      <c r="U21" s="58"/>
      <c r="V21" s="58"/>
      <c r="W21" s="58"/>
      <c r="X21" s="58"/>
      <c r="Y21" s="57"/>
      <c r="Z21" s="57"/>
      <c r="AA21" s="57"/>
      <c r="AB21" s="57"/>
      <c r="AC21" s="57"/>
      <c r="AD21" s="58"/>
      <c r="AE21" s="58"/>
      <c r="AF21" s="58"/>
      <c r="AG21" s="58"/>
      <c r="AH21" s="58"/>
      <c r="AI21" s="58"/>
      <c r="AJ21" s="57"/>
      <c r="AK21" s="57"/>
      <c r="AL21" s="57"/>
      <c r="AM21" s="57"/>
      <c r="AN21" s="57"/>
      <c r="AO21" s="57"/>
      <c r="AP21" s="57"/>
      <c r="AQ21" s="58"/>
      <c r="AR21" s="58"/>
      <c r="AS21" s="58"/>
    </row>
    <row r="22" spans="3:45" ht="16.5" customHeight="1">
      <c r="C22" s="59">
        <v>1525</v>
      </c>
      <c r="D22" s="59">
        <v>1074</v>
      </c>
      <c r="E22" s="57"/>
      <c r="F22" s="57"/>
      <c r="G22" s="57"/>
      <c r="H22" s="57"/>
      <c r="I22" s="58"/>
      <c r="J22" s="58"/>
      <c r="K22" s="58"/>
      <c r="L22" s="58"/>
      <c r="M22" s="58"/>
      <c r="N22" s="57"/>
      <c r="O22" s="57"/>
      <c r="P22" s="57"/>
      <c r="Q22" s="57"/>
      <c r="R22" s="57"/>
      <c r="S22" s="58"/>
      <c r="T22" s="58"/>
      <c r="U22" s="58"/>
      <c r="V22" s="58"/>
      <c r="W22" s="58"/>
      <c r="X22" s="57"/>
      <c r="Y22" s="57"/>
      <c r="Z22" s="57"/>
      <c r="AA22" s="57"/>
      <c r="AB22" s="57"/>
      <c r="AC22" s="58"/>
      <c r="AD22" s="58"/>
      <c r="AE22" s="58"/>
      <c r="AF22" s="58"/>
      <c r="AG22" s="58"/>
      <c r="AH22" s="58"/>
      <c r="AI22" s="58"/>
      <c r="AJ22" s="57"/>
      <c r="AK22" s="57"/>
      <c r="AL22" s="57"/>
      <c r="AM22" s="57"/>
      <c r="AN22" s="57"/>
      <c r="AO22" s="57"/>
      <c r="AP22" s="58"/>
      <c r="AQ22" s="58"/>
      <c r="AR22" s="58"/>
      <c r="AS22" s="58"/>
    </row>
    <row r="23" spans="3:45" ht="16.5" customHeight="1">
      <c r="C23" s="59">
        <v>1500</v>
      </c>
      <c r="D23" s="59">
        <v>1057</v>
      </c>
      <c r="E23" s="57"/>
      <c r="F23" s="57"/>
      <c r="G23" s="57"/>
      <c r="H23" s="58"/>
      <c r="I23" s="58"/>
      <c r="J23" s="58"/>
      <c r="K23" s="58"/>
      <c r="L23" s="58"/>
      <c r="M23" s="57"/>
      <c r="N23" s="57"/>
      <c r="O23" s="57"/>
      <c r="P23" s="57"/>
      <c r="Q23" s="57"/>
      <c r="R23" s="58"/>
      <c r="S23" s="58"/>
      <c r="T23" s="58"/>
      <c r="U23" s="58"/>
      <c r="V23" s="58"/>
      <c r="W23" s="57"/>
      <c r="X23" s="57"/>
      <c r="Y23" s="57"/>
      <c r="Z23" s="57"/>
      <c r="AA23" s="57"/>
      <c r="AB23" s="57"/>
      <c r="AC23" s="58"/>
      <c r="AD23" s="58"/>
      <c r="AE23" s="58"/>
      <c r="AF23" s="58"/>
      <c r="AG23" s="58"/>
      <c r="AH23" s="58"/>
      <c r="AI23" s="57"/>
      <c r="AJ23" s="57"/>
      <c r="AK23" s="57"/>
      <c r="AL23" s="57"/>
      <c r="AM23" s="57"/>
      <c r="AN23" s="57"/>
      <c r="AO23" s="58"/>
      <c r="AP23" s="58"/>
      <c r="AQ23" s="58"/>
      <c r="AR23" s="58"/>
      <c r="AS23" s="58"/>
    </row>
    <row r="24" spans="3:45" ht="16.5" customHeight="1">
      <c r="C24" s="59">
        <v>1475</v>
      </c>
      <c r="D24" s="59">
        <v>1041</v>
      </c>
      <c r="E24" s="57"/>
      <c r="F24" s="57"/>
      <c r="G24" s="58"/>
      <c r="H24" s="58"/>
      <c r="I24" s="58"/>
      <c r="J24" s="58"/>
      <c r="K24" s="58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/>
      <c r="W24" s="57"/>
      <c r="X24" s="57"/>
      <c r="Y24" s="57"/>
      <c r="Z24" s="57"/>
      <c r="AA24" s="57"/>
      <c r="AB24" s="58"/>
      <c r="AC24" s="58"/>
      <c r="AD24" s="58"/>
      <c r="AE24" s="58"/>
      <c r="AF24" s="58"/>
      <c r="AG24" s="58"/>
      <c r="AH24" s="57"/>
      <c r="AI24" s="57"/>
      <c r="AJ24" s="57"/>
      <c r="AK24" s="57"/>
      <c r="AL24" s="57"/>
      <c r="AM24" s="57"/>
      <c r="AN24" s="58"/>
      <c r="AO24" s="58"/>
      <c r="AP24" s="58"/>
      <c r="AQ24" s="58"/>
      <c r="AR24" s="58"/>
      <c r="AS24" s="58"/>
    </row>
    <row r="25" spans="3:45" ht="16.5" customHeight="1">
      <c r="C25" s="59">
        <v>1450</v>
      </c>
      <c r="D25" s="59">
        <v>1024</v>
      </c>
      <c r="E25" s="57"/>
      <c r="F25" s="57"/>
      <c r="G25" s="58"/>
      <c r="H25" s="58"/>
      <c r="I25" s="58"/>
      <c r="J25" s="58"/>
      <c r="K25" s="58"/>
      <c r="L25" s="57"/>
      <c r="M25" s="57"/>
      <c r="N25" s="57"/>
      <c r="O25" s="57"/>
      <c r="P25" s="57"/>
      <c r="Q25" s="58"/>
      <c r="R25" s="58"/>
      <c r="S25" s="58"/>
      <c r="T25" s="58"/>
      <c r="U25" s="58"/>
      <c r="V25" s="57"/>
      <c r="W25" s="57"/>
      <c r="X25" s="57"/>
      <c r="Y25" s="57"/>
      <c r="Z25" s="57"/>
      <c r="AA25" s="58"/>
      <c r="AB25" s="58"/>
      <c r="AC25" s="58"/>
      <c r="AD25" s="58"/>
      <c r="AE25" s="58"/>
      <c r="AF25" s="58"/>
      <c r="AG25" s="57"/>
      <c r="AH25" s="57"/>
      <c r="AI25" s="57"/>
      <c r="AJ25" s="57"/>
      <c r="AK25" s="57"/>
      <c r="AL25" s="57"/>
      <c r="AM25" s="58"/>
      <c r="AN25" s="58"/>
      <c r="AO25" s="58"/>
      <c r="AP25" s="58"/>
      <c r="AQ25" s="58"/>
      <c r="AR25" s="58"/>
      <c r="AS25" s="57"/>
    </row>
    <row r="26" spans="3:45" ht="16.5" customHeight="1">
      <c r="C26" s="59">
        <v>1425</v>
      </c>
      <c r="D26" s="59">
        <v>1008</v>
      </c>
      <c r="E26" s="57"/>
      <c r="F26" s="58"/>
      <c r="G26" s="58"/>
      <c r="H26" s="58"/>
      <c r="I26" s="58"/>
      <c r="J26" s="58"/>
      <c r="K26" s="57"/>
      <c r="L26" s="57"/>
      <c r="M26" s="57"/>
      <c r="N26" s="57"/>
      <c r="O26" s="57"/>
      <c r="P26" s="58"/>
      <c r="Q26" s="58"/>
      <c r="R26" s="58"/>
      <c r="S26" s="58"/>
      <c r="T26" s="58"/>
      <c r="U26" s="57"/>
      <c r="V26" s="57"/>
      <c r="W26" s="57"/>
      <c r="X26" s="57"/>
      <c r="Y26" s="57"/>
      <c r="Z26" s="58"/>
      <c r="AA26" s="58"/>
      <c r="AB26" s="58"/>
      <c r="AC26" s="58"/>
      <c r="AD26" s="58"/>
      <c r="AE26" s="58"/>
      <c r="AF26" s="57"/>
      <c r="AG26" s="57"/>
      <c r="AH26" s="57"/>
      <c r="AI26" s="57"/>
      <c r="AJ26" s="57"/>
      <c r="AK26" s="57"/>
      <c r="AL26" s="58"/>
      <c r="AM26" s="58"/>
      <c r="AN26" s="58"/>
      <c r="AO26" s="58"/>
      <c r="AP26" s="58"/>
      <c r="AQ26" s="58"/>
      <c r="AR26" s="57"/>
      <c r="AS26" s="57"/>
    </row>
    <row r="27" spans="3:45" ht="16.5" customHeight="1">
      <c r="C27" s="59">
        <v>1400</v>
      </c>
      <c r="D27" s="59">
        <v>991</v>
      </c>
      <c r="E27" s="57"/>
      <c r="F27" s="58"/>
      <c r="G27" s="58"/>
      <c r="H27" s="58"/>
      <c r="I27" s="58"/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7"/>
      <c r="V27" s="57"/>
      <c r="W27" s="57"/>
      <c r="X27" s="57"/>
      <c r="Y27" s="57"/>
      <c r="Z27" s="58"/>
      <c r="AA27" s="58"/>
      <c r="AB27" s="58"/>
      <c r="AC27" s="58"/>
      <c r="AD27" s="58"/>
      <c r="AE27" s="57"/>
      <c r="AF27" s="57"/>
      <c r="AG27" s="57"/>
      <c r="AH27" s="57"/>
      <c r="AI27" s="57"/>
      <c r="AJ27" s="57"/>
      <c r="AK27" s="58"/>
      <c r="AL27" s="58"/>
      <c r="AM27" s="58"/>
      <c r="AN27" s="58"/>
      <c r="AO27" s="58"/>
      <c r="AP27" s="58"/>
      <c r="AQ27" s="58"/>
      <c r="AR27" s="57"/>
      <c r="AS27" s="57"/>
    </row>
    <row r="28" spans="3:45" ht="16.5" customHeight="1">
      <c r="C28" s="59">
        <v>1375</v>
      </c>
      <c r="D28" s="59">
        <v>975</v>
      </c>
      <c r="E28" s="692" t="s">
        <v>75</v>
      </c>
      <c r="F28" s="693"/>
      <c r="G28" s="693"/>
      <c r="H28" s="694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8"/>
      <c r="T28" s="57"/>
      <c r="U28" s="57"/>
      <c r="V28" s="57"/>
      <c r="W28" s="57"/>
      <c r="X28" s="57"/>
      <c r="Y28" s="58"/>
      <c r="Z28" s="58"/>
      <c r="AA28" s="58"/>
      <c r="AB28" s="58"/>
      <c r="AC28" s="58"/>
      <c r="AD28" s="57"/>
      <c r="AE28" s="57"/>
      <c r="AF28" s="57"/>
      <c r="AG28" s="57"/>
      <c r="AH28" s="57"/>
      <c r="AI28" s="57"/>
      <c r="AJ28" s="57"/>
      <c r="AK28" s="58"/>
      <c r="AL28" s="58"/>
      <c r="AM28" s="58"/>
      <c r="AN28" s="58"/>
      <c r="AO28" s="58"/>
      <c r="AP28" s="58"/>
      <c r="AQ28" s="57"/>
      <c r="AR28" s="57"/>
      <c r="AS28" s="57"/>
    </row>
    <row r="29" spans="3:45" ht="16.5" customHeight="1">
      <c r="C29" s="59">
        <v>1350</v>
      </c>
      <c r="D29" s="59">
        <v>959</v>
      </c>
      <c r="E29" s="58"/>
      <c r="F29" s="58"/>
      <c r="G29" s="58"/>
      <c r="H29" s="58"/>
      <c r="I29" s="57"/>
      <c r="J29" s="57"/>
      <c r="K29" s="57"/>
      <c r="L29" s="57"/>
      <c r="M29" s="57"/>
      <c r="N29" s="58"/>
      <c r="O29" s="58"/>
      <c r="P29" s="58"/>
      <c r="Q29" s="58"/>
      <c r="R29" s="58"/>
      <c r="S29" s="57"/>
      <c r="T29" s="57"/>
      <c r="U29" s="57"/>
      <c r="V29" s="57"/>
      <c r="W29" s="57"/>
      <c r="X29" s="58"/>
      <c r="Y29" s="58"/>
      <c r="Z29" s="58"/>
      <c r="AA29" s="58"/>
      <c r="AB29" s="58"/>
      <c r="AC29" s="58"/>
      <c r="AD29" s="57"/>
      <c r="AE29" s="57"/>
      <c r="AF29" s="57"/>
      <c r="AG29" s="57"/>
      <c r="AH29" s="57"/>
      <c r="AI29" s="57"/>
      <c r="AJ29" s="58"/>
      <c r="AK29" s="58"/>
      <c r="AL29" s="58"/>
      <c r="AM29" s="58"/>
      <c r="AN29" s="58"/>
      <c r="AO29" s="58"/>
      <c r="AP29" s="57"/>
      <c r="AQ29" s="57"/>
      <c r="AR29" s="57"/>
      <c r="AS29" s="57"/>
    </row>
    <row r="30" spans="3:45" ht="16.5" customHeight="1">
      <c r="C30" s="59">
        <v>1325</v>
      </c>
      <c r="D30" s="59">
        <v>943</v>
      </c>
      <c r="E30" s="58"/>
      <c r="F30" s="58"/>
      <c r="G30" s="58"/>
      <c r="H30" s="57"/>
      <c r="I30" s="57"/>
      <c r="J30" s="57"/>
      <c r="K30" s="57"/>
      <c r="L30" s="57"/>
      <c r="M30" s="58"/>
      <c r="N30" s="58"/>
      <c r="O30" s="58"/>
      <c r="P30" s="58"/>
      <c r="Q30" s="58"/>
      <c r="R30" s="58"/>
      <c r="S30" s="57"/>
      <c r="T30" s="57"/>
      <c r="U30" s="57"/>
      <c r="V30" s="57"/>
      <c r="W30" s="57"/>
      <c r="X30" s="58"/>
      <c r="Y30" s="58"/>
      <c r="Z30" s="58"/>
      <c r="AA30" s="58"/>
      <c r="AB30" s="58"/>
      <c r="AC30" s="57"/>
      <c r="AD30" s="57"/>
      <c r="AE30" s="57"/>
      <c r="AF30" s="57"/>
      <c r="AG30" s="57"/>
      <c r="AH30" s="57"/>
      <c r="AI30" s="58"/>
      <c r="AJ30" s="58"/>
      <c r="AK30" s="58"/>
      <c r="AL30" s="58"/>
      <c r="AM30" s="58"/>
      <c r="AN30" s="58"/>
      <c r="AO30" s="57"/>
      <c r="AP30" s="57"/>
      <c r="AQ30" s="57"/>
      <c r="AR30" s="57"/>
      <c r="AS30" s="57"/>
    </row>
    <row r="31" spans="3:45" ht="16.5" customHeight="1">
      <c r="C31" s="59">
        <v>1300</v>
      </c>
      <c r="D31" s="59">
        <v>925</v>
      </c>
      <c r="E31" s="58"/>
      <c r="F31" s="58"/>
      <c r="G31" s="58"/>
      <c r="H31" s="57"/>
      <c r="I31" s="57"/>
      <c r="J31" s="57"/>
      <c r="K31" s="57"/>
      <c r="L31" s="57"/>
      <c r="M31" s="58"/>
      <c r="N31" s="58"/>
      <c r="O31" s="58"/>
      <c r="P31" s="58"/>
      <c r="Q31" s="58"/>
      <c r="R31" s="57"/>
      <c r="S31" s="57"/>
      <c r="T31" s="57"/>
      <c r="U31" s="57"/>
      <c r="V31" s="57"/>
      <c r="W31" s="58"/>
      <c r="X31" s="58"/>
      <c r="Y31" s="58"/>
      <c r="Z31" s="58"/>
      <c r="AA31" s="58"/>
      <c r="AB31" s="57"/>
      <c r="AC31" s="57"/>
      <c r="AD31" s="57"/>
      <c r="AE31" s="57"/>
      <c r="AF31" s="57"/>
      <c r="AG31" s="57"/>
      <c r="AH31" s="58"/>
      <c r="AI31" s="58"/>
      <c r="AJ31" s="58"/>
      <c r="AK31" s="58"/>
      <c r="AL31" s="58"/>
      <c r="AM31" s="58"/>
      <c r="AN31" s="57"/>
      <c r="AO31" s="57"/>
      <c r="AP31" s="57"/>
      <c r="AQ31" s="57"/>
      <c r="AR31" s="57"/>
      <c r="AS31" s="57"/>
    </row>
    <row r="32" spans="3:45" ht="16.5" customHeight="1">
      <c r="C32" s="59">
        <v>1275</v>
      </c>
      <c r="D32" s="59">
        <v>905</v>
      </c>
      <c r="E32" s="58"/>
      <c r="F32" s="58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7"/>
      <c r="R32" s="57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7"/>
      <c r="AD32" s="57"/>
      <c r="AE32" s="57"/>
      <c r="AF32" s="57"/>
      <c r="AG32" s="58"/>
      <c r="AH32" s="58"/>
      <c r="AI32" s="58"/>
      <c r="AJ32" s="58"/>
      <c r="AK32" s="58"/>
      <c r="AL32" s="58"/>
      <c r="AM32" s="57"/>
      <c r="AN32" s="57"/>
      <c r="AO32" s="57"/>
      <c r="AP32" s="57"/>
      <c r="AQ32" s="57"/>
      <c r="AR32" s="57"/>
      <c r="AS32" s="58"/>
    </row>
    <row r="33" spans="3:45" ht="16.5" customHeight="1">
      <c r="C33" s="59">
        <v>1250</v>
      </c>
      <c r="D33" s="59">
        <v>887</v>
      </c>
      <c r="E33" s="58"/>
      <c r="F33" s="57"/>
      <c r="G33" s="57"/>
      <c r="H33" s="57"/>
      <c r="I33" s="57"/>
      <c r="J33" s="57"/>
      <c r="K33" s="58"/>
      <c r="L33" s="58"/>
      <c r="M33" s="58"/>
      <c r="N33" s="58"/>
      <c r="O33" s="58"/>
      <c r="P33" s="57"/>
      <c r="Q33" s="57"/>
      <c r="R33" s="57"/>
      <c r="S33" s="57"/>
      <c r="T33" s="57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8"/>
      <c r="AG33" s="58"/>
      <c r="AH33" s="58"/>
      <c r="AI33" s="58"/>
      <c r="AJ33" s="58"/>
      <c r="AK33" s="58"/>
      <c r="AL33" s="57"/>
      <c r="AM33" s="57"/>
      <c r="AN33" s="57"/>
      <c r="AO33" s="57"/>
      <c r="AP33" s="57"/>
      <c r="AQ33" s="57"/>
      <c r="AR33" s="58"/>
      <c r="AS33" s="58"/>
    </row>
    <row r="34" spans="3:45" ht="16.5" customHeight="1">
      <c r="C34" s="59">
        <v>1225</v>
      </c>
      <c r="D34" s="59">
        <v>870</v>
      </c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7"/>
      <c r="P34" s="57"/>
      <c r="Q34" s="57"/>
      <c r="R34" s="57"/>
      <c r="S34" s="57"/>
      <c r="T34" s="58"/>
      <c r="U34" s="58"/>
      <c r="V34" s="58"/>
      <c r="W34" s="58"/>
      <c r="X34" s="58"/>
      <c r="Y34" s="58"/>
      <c r="Z34" s="57"/>
      <c r="AA34" s="57"/>
      <c r="AB34" s="57"/>
      <c r="AC34" s="57"/>
      <c r="AD34" s="57"/>
      <c r="AE34" s="58"/>
      <c r="AF34" s="58"/>
      <c r="AG34" s="58"/>
      <c r="AH34" s="58"/>
      <c r="AI34" s="58"/>
      <c r="AJ34" s="58"/>
      <c r="AK34" s="57"/>
      <c r="AL34" s="57"/>
      <c r="AM34" s="57"/>
      <c r="AN34" s="57"/>
      <c r="AO34" s="57"/>
      <c r="AP34" s="57"/>
      <c r="AQ34" s="58"/>
      <c r="AR34" s="58"/>
      <c r="AS34" s="58"/>
    </row>
    <row r="35" spans="3:45" ht="16.5" customHeight="1">
      <c r="C35" s="59">
        <v>1200</v>
      </c>
      <c r="D35" s="59">
        <v>853</v>
      </c>
      <c r="E35" s="689" t="s">
        <v>76</v>
      </c>
      <c r="F35" s="690"/>
      <c r="G35" s="690"/>
      <c r="H35" s="691"/>
      <c r="I35" s="58"/>
      <c r="J35" s="58"/>
      <c r="K35" s="58"/>
      <c r="L35" s="58"/>
      <c r="M35" s="58"/>
      <c r="N35" s="57"/>
      <c r="O35" s="57"/>
      <c r="P35" s="57"/>
      <c r="Q35" s="57"/>
      <c r="R35" s="57"/>
      <c r="S35" s="57"/>
      <c r="T35" s="58"/>
      <c r="U35" s="58"/>
      <c r="V35" s="58"/>
      <c r="W35" s="58"/>
      <c r="X35" s="58"/>
      <c r="Y35" s="57"/>
      <c r="Z35" s="57"/>
      <c r="AA35" s="57"/>
      <c r="AB35" s="57"/>
      <c r="AC35" s="57"/>
      <c r="AD35" s="58"/>
      <c r="AE35" s="58"/>
      <c r="AF35" s="58"/>
      <c r="AG35" s="58"/>
      <c r="AH35" s="58"/>
      <c r="AI35" s="58"/>
      <c r="AJ35" s="57"/>
      <c r="AK35" s="57"/>
      <c r="AL35" s="57"/>
      <c r="AM35" s="57"/>
      <c r="AN35" s="57"/>
      <c r="AO35" s="57"/>
      <c r="AP35" s="58"/>
      <c r="AQ35" s="58"/>
      <c r="AR35" s="58"/>
      <c r="AS35" s="58"/>
    </row>
    <row r="36" spans="3:45" ht="16.5" customHeight="1">
      <c r="C36" s="59">
        <v>1175</v>
      </c>
      <c r="D36" s="59">
        <v>836</v>
      </c>
      <c r="E36" s="57"/>
      <c r="F36" s="57"/>
      <c r="G36" s="57"/>
      <c r="H36" s="58"/>
      <c r="I36" s="58"/>
      <c r="J36" s="58"/>
      <c r="K36" s="58"/>
      <c r="L36" s="58"/>
      <c r="M36" s="58"/>
      <c r="N36" s="57"/>
      <c r="O36" s="57"/>
      <c r="P36" s="57"/>
      <c r="Q36" s="57"/>
      <c r="R36" s="57"/>
      <c r="S36" s="58"/>
      <c r="T36" s="58"/>
      <c r="U36" s="58"/>
      <c r="V36" s="58"/>
      <c r="W36" s="58"/>
      <c r="X36" s="57"/>
      <c r="Y36" s="57"/>
      <c r="Z36" s="57"/>
      <c r="AA36" s="57"/>
      <c r="AB36" s="57"/>
      <c r="AC36" s="58"/>
      <c r="AD36" s="58"/>
      <c r="AE36" s="58"/>
      <c r="AF36" s="58"/>
      <c r="AG36" s="58"/>
      <c r="AH36" s="58"/>
      <c r="AI36" s="57"/>
      <c r="AJ36" s="57"/>
      <c r="AK36" s="57"/>
      <c r="AL36" s="57"/>
      <c r="AM36" s="57"/>
      <c r="AN36" s="57"/>
      <c r="AO36" s="58"/>
      <c r="AP36" s="58"/>
      <c r="AQ36" s="58"/>
      <c r="AR36" s="58"/>
      <c r="AS36" s="58"/>
    </row>
    <row r="37" spans="3:45" ht="16.5" customHeight="1">
      <c r="C37" s="59">
        <v>1150</v>
      </c>
      <c r="D37" s="59">
        <v>817</v>
      </c>
      <c r="E37" s="57"/>
      <c r="F37" s="57"/>
      <c r="G37" s="57"/>
      <c r="H37" s="58"/>
      <c r="I37" s="58"/>
      <c r="J37" s="58"/>
      <c r="K37" s="58"/>
      <c r="L37" s="58"/>
      <c r="M37" s="57"/>
      <c r="N37" s="57"/>
      <c r="O37" s="57"/>
      <c r="P37" s="57"/>
      <c r="Q37" s="57"/>
      <c r="R37" s="58"/>
      <c r="S37" s="58"/>
      <c r="T37" s="58"/>
      <c r="U37" s="58"/>
      <c r="V37" s="58"/>
      <c r="W37" s="57"/>
      <c r="X37" s="57"/>
      <c r="Y37" s="57"/>
      <c r="Z37" s="57"/>
      <c r="AA37" s="57"/>
      <c r="AB37" s="58"/>
      <c r="AC37" s="58"/>
      <c r="AD37" s="58"/>
      <c r="AE37" s="58"/>
      <c r="AF37" s="58"/>
      <c r="AG37" s="58"/>
      <c r="AH37" s="57"/>
      <c r="AI37" s="57"/>
      <c r="AJ37" s="57"/>
      <c r="AK37" s="57"/>
      <c r="AL37" s="57"/>
      <c r="AM37" s="57"/>
      <c r="AN37" s="58"/>
      <c r="AO37" s="58"/>
      <c r="AP37" s="58"/>
      <c r="AQ37" s="58"/>
      <c r="AR37" s="58"/>
      <c r="AS37" s="58"/>
    </row>
    <row r="38" spans="3:45" ht="16.5" customHeight="1">
      <c r="C38" s="59">
        <v>1125</v>
      </c>
      <c r="D38" s="59">
        <v>799</v>
      </c>
      <c r="E38" s="57"/>
      <c r="F38" s="57"/>
      <c r="G38" s="58"/>
      <c r="H38" s="58"/>
      <c r="I38" s="58"/>
      <c r="J38" s="58"/>
      <c r="K38" s="58"/>
      <c r="L38" s="57"/>
      <c r="M38" s="57"/>
      <c r="N38" s="57"/>
      <c r="O38" s="57"/>
      <c r="P38" s="57"/>
      <c r="Q38" s="58"/>
      <c r="R38" s="58"/>
      <c r="S38" s="58"/>
      <c r="T38" s="58"/>
      <c r="U38" s="58"/>
      <c r="V38" s="57"/>
      <c r="W38" s="57"/>
      <c r="X38" s="57"/>
      <c r="Y38" s="57"/>
      <c r="Z38" s="57"/>
      <c r="AA38" s="58"/>
      <c r="AB38" s="58"/>
      <c r="AC38" s="58"/>
      <c r="AD38" s="58"/>
      <c r="AE38" s="58"/>
      <c r="AF38" s="58"/>
      <c r="AG38" s="57"/>
      <c r="AH38" s="57"/>
      <c r="AI38" s="57"/>
      <c r="AJ38" s="57"/>
      <c r="AK38" s="57"/>
      <c r="AL38" s="57"/>
      <c r="AM38" s="58"/>
      <c r="AN38" s="58"/>
      <c r="AO38" s="58"/>
      <c r="AP38" s="58"/>
      <c r="AQ38" s="58"/>
      <c r="AR38" s="58"/>
      <c r="AS38" s="57"/>
    </row>
    <row r="39" spans="3:45" ht="16.5" customHeight="1">
      <c r="C39" s="59">
        <v>1100</v>
      </c>
      <c r="D39" s="59">
        <v>781</v>
      </c>
      <c r="E39" s="57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8"/>
      <c r="Q39" s="58"/>
      <c r="R39" s="58"/>
      <c r="S39" s="58"/>
      <c r="T39" s="58"/>
      <c r="U39" s="57"/>
      <c r="V39" s="57"/>
      <c r="W39" s="57"/>
      <c r="X39" s="57"/>
      <c r="Y39" s="57"/>
      <c r="Z39" s="58"/>
      <c r="AA39" s="58"/>
      <c r="AB39" s="58"/>
      <c r="AC39" s="58"/>
      <c r="AD39" s="58"/>
      <c r="AE39" s="58"/>
      <c r="AF39" s="57"/>
      <c r="AG39" s="57"/>
      <c r="AH39" s="57"/>
      <c r="AI39" s="57"/>
      <c r="AJ39" s="57"/>
      <c r="AK39" s="57"/>
      <c r="AL39" s="58"/>
      <c r="AM39" s="58"/>
      <c r="AN39" s="58"/>
      <c r="AO39" s="58"/>
      <c r="AP39" s="58"/>
      <c r="AQ39" s="58"/>
      <c r="AR39" s="57"/>
      <c r="AS39" s="57"/>
    </row>
    <row r="40" spans="3:45" ht="16.5" customHeight="1">
      <c r="C40" s="59">
        <v>1075</v>
      </c>
      <c r="D40" s="59">
        <v>764</v>
      </c>
      <c r="E40" s="58"/>
      <c r="F40" s="692" t="s">
        <v>77</v>
      </c>
      <c r="G40" s="693"/>
      <c r="H40" s="693"/>
      <c r="I40" s="694"/>
      <c r="J40" s="57"/>
      <c r="K40" s="57"/>
      <c r="L40" s="57"/>
      <c r="M40" s="57"/>
      <c r="N40" s="57"/>
      <c r="O40" s="58"/>
      <c r="P40" s="58"/>
      <c r="Q40" s="58"/>
      <c r="R40" s="58"/>
      <c r="S40" s="58"/>
      <c r="T40" s="57"/>
      <c r="U40" s="57"/>
      <c r="V40" s="57"/>
      <c r="W40" s="57"/>
      <c r="X40" s="57"/>
      <c r="Y40" s="58"/>
      <c r="Z40" s="58"/>
      <c r="AA40" s="58"/>
      <c r="AB40" s="58"/>
      <c r="AC40" s="58"/>
      <c r="AD40" s="58"/>
      <c r="AE40" s="57"/>
      <c r="AF40" s="57"/>
      <c r="AG40" s="57"/>
      <c r="AH40" s="57"/>
      <c r="AI40" s="57"/>
      <c r="AJ40" s="57"/>
      <c r="AK40" s="58"/>
      <c r="AL40" s="58"/>
      <c r="AM40" s="58"/>
      <c r="AN40" s="58"/>
      <c r="AO40" s="58"/>
      <c r="AP40" s="58"/>
      <c r="AQ40" s="57"/>
      <c r="AR40" s="57"/>
      <c r="AS40" s="57"/>
    </row>
    <row r="41" spans="3:45" ht="16.5" customHeight="1">
      <c r="C41" s="59">
        <v>1050</v>
      </c>
      <c r="D41" s="59">
        <v>746</v>
      </c>
      <c r="E41" s="58"/>
      <c r="F41" s="58"/>
      <c r="G41" s="58"/>
      <c r="H41" s="58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7"/>
      <c r="T41" s="57"/>
      <c r="U41" s="57"/>
      <c r="V41" s="57"/>
      <c r="W41" s="57"/>
      <c r="X41" s="58"/>
      <c r="Y41" s="58"/>
      <c r="Z41" s="58"/>
      <c r="AA41" s="58"/>
      <c r="AB41" s="58"/>
      <c r="AC41" s="58"/>
      <c r="AD41" s="57"/>
      <c r="AE41" s="57"/>
      <c r="AF41" s="57"/>
      <c r="AG41" s="57"/>
      <c r="AH41" s="57"/>
      <c r="AI41" s="57"/>
      <c r="AJ41" s="58"/>
      <c r="AK41" s="58"/>
      <c r="AL41" s="58"/>
      <c r="AM41" s="58"/>
      <c r="AN41" s="58"/>
      <c r="AO41" s="58"/>
      <c r="AP41" s="57"/>
      <c r="AQ41" s="57"/>
      <c r="AR41" s="57"/>
      <c r="AS41" s="58"/>
    </row>
    <row r="42" spans="3:45" ht="16.5" customHeight="1">
      <c r="C42" s="59">
        <v>1025</v>
      </c>
      <c r="D42" s="59">
        <v>728</v>
      </c>
      <c r="E42" s="58"/>
      <c r="F42" s="58"/>
      <c r="G42" s="58"/>
      <c r="H42" s="57"/>
      <c r="I42" s="57"/>
      <c r="J42" s="57"/>
      <c r="K42" s="57"/>
      <c r="L42" s="57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7"/>
      <c r="AD42" s="57"/>
      <c r="AE42" s="57"/>
      <c r="AF42" s="57"/>
      <c r="AG42" s="57"/>
      <c r="AH42" s="57"/>
      <c r="AI42" s="58"/>
      <c r="AJ42" s="58"/>
      <c r="AK42" s="58"/>
      <c r="AL42" s="58"/>
      <c r="AM42" s="58"/>
      <c r="AN42" s="58"/>
      <c r="AO42" s="57"/>
      <c r="AP42" s="57"/>
      <c r="AQ42" s="57"/>
      <c r="AR42" s="58"/>
      <c r="AS42" s="58"/>
    </row>
    <row r="43" spans="3:45" ht="16.5" customHeight="1">
      <c r="C43" s="59">
        <v>1000</v>
      </c>
      <c r="D43" s="59">
        <v>710</v>
      </c>
      <c r="E43" s="58"/>
      <c r="F43" s="58"/>
      <c r="G43" s="57"/>
      <c r="H43" s="57"/>
      <c r="I43" s="57"/>
      <c r="J43" s="57"/>
      <c r="K43" s="57"/>
      <c r="L43" s="58"/>
      <c r="M43" s="58"/>
      <c r="N43" s="58"/>
      <c r="O43" s="58"/>
      <c r="P43" s="58"/>
      <c r="Q43" s="57"/>
      <c r="R43" s="57"/>
      <c r="S43" s="57"/>
      <c r="T43" s="57"/>
      <c r="U43" s="57"/>
      <c r="V43" s="58"/>
      <c r="W43" s="58"/>
      <c r="X43" s="58"/>
      <c r="Y43" s="58"/>
      <c r="Z43" s="58"/>
      <c r="AA43" s="58"/>
      <c r="AB43" s="57"/>
      <c r="AC43" s="57"/>
      <c r="AD43" s="57"/>
      <c r="AE43" s="57"/>
      <c r="AF43" s="57"/>
      <c r="AG43" s="58"/>
      <c r="AH43" s="58"/>
      <c r="AI43" s="58"/>
      <c r="AJ43" s="58"/>
      <c r="AK43" s="58"/>
      <c r="AL43" s="58"/>
      <c r="AM43" s="58"/>
      <c r="AN43" s="57"/>
      <c r="AO43" s="57"/>
      <c r="AP43" s="57"/>
      <c r="AQ43" s="58"/>
      <c r="AR43" s="58"/>
      <c r="AS43" s="57"/>
    </row>
    <row r="44" spans="3:45" ht="16.5" customHeight="1">
      <c r="C44" s="59">
        <v>975</v>
      </c>
      <c r="D44" s="59">
        <v>691</v>
      </c>
      <c r="E44" s="58"/>
      <c r="F44" s="57"/>
      <c r="G44" s="57"/>
      <c r="H44" s="57"/>
      <c r="I44" s="57"/>
      <c r="J44" s="57"/>
      <c r="K44" s="58"/>
      <c r="L44" s="58"/>
      <c r="M44" s="58"/>
      <c r="N44" s="58"/>
      <c r="O44" s="58"/>
      <c r="P44" s="57"/>
      <c r="Q44" s="57"/>
      <c r="R44" s="57"/>
      <c r="S44" s="57"/>
      <c r="T44" s="57"/>
      <c r="U44" s="58"/>
      <c r="V44" s="58"/>
      <c r="W44" s="58"/>
      <c r="X44" s="58"/>
      <c r="Y44" s="58"/>
      <c r="Z44" s="58"/>
      <c r="AA44" s="57"/>
      <c r="AB44" s="57"/>
      <c r="AC44" s="57"/>
      <c r="AD44" s="57"/>
      <c r="AE44" s="57"/>
      <c r="AF44" s="58"/>
      <c r="AG44" s="58"/>
      <c r="AH44" s="58"/>
      <c r="AI44" s="58"/>
      <c r="AJ44" s="58"/>
      <c r="AK44" s="58"/>
      <c r="AL44" s="58"/>
      <c r="AM44" s="57"/>
      <c r="AN44" s="57"/>
      <c r="AO44" s="57"/>
      <c r="AP44" s="58"/>
      <c r="AQ44" s="58"/>
      <c r="AR44" s="57"/>
      <c r="AS44" s="57"/>
    </row>
    <row r="45" spans="3:45" ht="16.5" customHeight="1">
      <c r="C45" s="59">
        <v>950</v>
      </c>
      <c r="D45" s="59">
        <v>674</v>
      </c>
      <c r="E45" s="57"/>
      <c r="F45" s="689" t="s">
        <v>78</v>
      </c>
      <c r="G45" s="690"/>
      <c r="H45" s="690"/>
      <c r="I45" s="691"/>
      <c r="J45" s="58"/>
      <c r="K45" s="58"/>
      <c r="L45" s="58"/>
      <c r="M45" s="58"/>
      <c r="N45" s="58"/>
      <c r="O45" s="57"/>
      <c r="P45" s="57"/>
      <c r="Q45" s="57"/>
      <c r="R45" s="57"/>
      <c r="S45" s="57"/>
      <c r="T45" s="58"/>
      <c r="U45" s="58"/>
      <c r="V45" s="58"/>
      <c r="W45" s="58"/>
      <c r="X45" s="58"/>
      <c r="Y45" s="58"/>
      <c r="Z45" s="57"/>
      <c r="AA45" s="57"/>
      <c r="AB45" s="57"/>
      <c r="AC45" s="57"/>
      <c r="AD45" s="57"/>
      <c r="AE45" s="58"/>
      <c r="AF45" s="58"/>
      <c r="AG45" s="58"/>
      <c r="AH45" s="58"/>
      <c r="AI45" s="58"/>
      <c r="AJ45" s="58"/>
      <c r="AK45" s="58"/>
      <c r="AL45" s="57"/>
      <c r="AM45" s="57"/>
      <c r="AN45" s="58"/>
      <c r="AO45" s="58"/>
      <c r="AP45" s="58"/>
      <c r="AQ45" s="57"/>
      <c r="AR45" s="57"/>
      <c r="AS45" s="57"/>
    </row>
    <row r="46" spans="3:45" ht="16.5" customHeight="1">
      <c r="C46" s="59">
        <v>925</v>
      </c>
      <c r="D46" s="59">
        <v>657</v>
      </c>
      <c r="E46" s="57"/>
      <c r="F46" s="57"/>
      <c r="G46" s="57"/>
      <c r="H46" s="57"/>
      <c r="I46" s="58"/>
      <c r="J46" s="58"/>
      <c r="K46" s="58"/>
      <c r="L46" s="58"/>
      <c r="M46" s="58"/>
      <c r="N46" s="58"/>
      <c r="O46" s="57"/>
      <c r="P46" s="57"/>
      <c r="Q46" s="57"/>
      <c r="R46" s="57"/>
      <c r="S46" s="57"/>
      <c r="T46" s="58"/>
      <c r="U46" s="58"/>
      <c r="V46" s="58"/>
      <c r="W46" s="58"/>
      <c r="X46" s="58"/>
      <c r="Y46" s="57"/>
      <c r="Z46" s="57"/>
      <c r="AA46" s="57"/>
      <c r="AB46" s="57"/>
      <c r="AC46" s="57"/>
      <c r="AD46" s="58"/>
      <c r="AE46" s="58"/>
      <c r="AF46" s="58"/>
      <c r="AG46" s="58"/>
      <c r="AH46" s="58"/>
      <c r="AI46" s="58"/>
      <c r="AJ46" s="58"/>
      <c r="AK46" s="57"/>
      <c r="AL46" s="57"/>
      <c r="AM46" s="58"/>
      <c r="AN46" s="58"/>
      <c r="AO46" s="58"/>
      <c r="AP46" s="57"/>
      <c r="AQ46" s="57"/>
      <c r="AR46" s="57"/>
      <c r="AS46" s="57"/>
    </row>
    <row r="47" spans="3:45" ht="16.5" customHeight="1">
      <c r="C47" s="59">
        <v>900</v>
      </c>
      <c r="D47" s="59">
        <v>641</v>
      </c>
      <c r="E47" s="57"/>
      <c r="F47" s="57"/>
      <c r="G47" s="57"/>
      <c r="H47" s="58"/>
      <c r="I47" s="58"/>
      <c r="J47" s="58"/>
      <c r="K47" s="58"/>
      <c r="L47" s="58"/>
      <c r="M47" s="58"/>
      <c r="N47" s="57"/>
      <c r="O47" s="57"/>
      <c r="P47" s="57"/>
      <c r="Q47" s="57"/>
      <c r="R47" s="57"/>
      <c r="S47" s="58"/>
      <c r="T47" s="58"/>
      <c r="U47" s="58"/>
      <c r="V47" s="58"/>
      <c r="W47" s="58"/>
      <c r="X47" s="57"/>
      <c r="Y47" s="57"/>
      <c r="Z47" s="57"/>
      <c r="AA47" s="57"/>
      <c r="AB47" s="57"/>
      <c r="AC47" s="58"/>
      <c r="AD47" s="58"/>
      <c r="AE47" s="58"/>
      <c r="AF47" s="58"/>
      <c r="AG47" s="58"/>
      <c r="AH47" s="58"/>
      <c r="AI47" s="57"/>
      <c r="AJ47" s="57"/>
      <c r="AK47" s="57"/>
      <c r="AL47" s="58"/>
      <c r="AM47" s="58"/>
      <c r="AN47" s="58"/>
      <c r="AO47" s="57"/>
      <c r="AP47" s="57"/>
      <c r="AQ47" s="57"/>
      <c r="AR47" s="57"/>
      <c r="AS47" s="57"/>
    </row>
    <row r="48" spans="3:45" ht="16.5" customHeight="1">
      <c r="C48" s="59">
        <v>875</v>
      </c>
      <c r="D48" s="59">
        <v>624</v>
      </c>
      <c r="E48" s="57"/>
      <c r="F48" s="57"/>
      <c r="G48" s="57"/>
      <c r="H48" s="58"/>
      <c r="I48" s="58"/>
      <c r="J48" s="58"/>
      <c r="K48" s="58"/>
      <c r="L48" s="58"/>
      <c r="M48" s="57"/>
      <c r="N48" s="57"/>
      <c r="O48" s="57"/>
      <c r="P48" s="57"/>
      <c r="Q48" s="57"/>
      <c r="R48" s="58"/>
      <c r="S48" s="58"/>
      <c r="T48" s="58"/>
      <c r="U48" s="58"/>
      <c r="V48" s="58"/>
      <c r="W48" s="57"/>
      <c r="X48" s="57"/>
      <c r="Y48" s="57"/>
      <c r="Z48" s="57"/>
      <c r="AA48" s="57"/>
      <c r="AB48" s="58"/>
      <c r="AC48" s="58"/>
      <c r="AD48" s="58"/>
      <c r="AE48" s="58"/>
      <c r="AF48" s="58"/>
      <c r="AG48" s="58"/>
      <c r="AH48" s="57"/>
      <c r="AI48" s="57"/>
      <c r="AJ48" s="57"/>
      <c r="AK48" s="58"/>
      <c r="AL48" s="58"/>
      <c r="AM48" s="58"/>
      <c r="AN48" s="57"/>
      <c r="AO48" s="57"/>
      <c r="AP48" s="57"/>
      <c r="AQ48" s="57"/>
      <c r="AR48" s="57"/>
      <c r="AS48" s="57"/>
    </row>
    <row r="49" spans="3:45" ht="16.5" customHeight="1">
      <c r="C49" s="59">
        <v>850</v>
      </c>
      <c r="D49" s="59">
        <v>608</v>
      </c>
      <c r="E49" s="57"/>
      <c r="F49" s="57"/>
      <c r="G49" s="58"/>
      <c r="H49" s="58"/>
      <c r="I49" s="58"/>
      <c r="J49" s="58"/>
      <c r="K49" s="58"/>
      <c r="L49" s="57"/>
      <c r="M49" s="57"/>
      <c r="N49" s="57"/>
      <c r="O49" s="57"/>
      <c r="P49" s="57"/>
      <c r="Q49" s="58"/>
      <c r="R49" s="58"/>
      <c r="S49" s="58"/>
      <c r="T49" s="58"/>
      <c r="U49" s="58"/>
      <c r="V49" s="57"/>
      <c r="W49" s="57"/>
      <c r="X49" s="57"/>
      <c r="Y49" s="57"/>
      <c r="Z49" s="57"/>
      <c r="AA49" s="58"/>
      <c r="AB49" s="58"/>
      <c r="AC49" s="58"/>
      <c r="AD49" s="58"/>
      <c r="AE49" s="58"/>
      <c r="AF49" s="58"/>
      <c r="AG49" s="57"/>
      <c r="AH49" s="57"/>
      <c r="AI49" s="57"/>
      <c r="AJ49" s="58"/>
      <c r="AK49" s="58"/>
      <c r="AL49" s="58"/>
      <c r="AM49" s="57"/>
      <c r="AN49" s="57"/>
      <c r="AO49" s="57"/>
      <c r="AP49" s="57"/>
      <c r="AQ49" s="57"/>
      <c r="AR49" s="57"/>
      <c r="AS49" s="57"/>
    </row>
    <row r="50" spans="3:45" ht="16.5" customHeight="1">
      <c r="C50" s="59">
        <v>825</v>
      </c>
      <c r="D50" s="59">
        <v>592</v>
      </c>
      <c r="E50" s="57"/>
      <c r="F50" s="58"/>
      <c r="G50" s="58"/>
      <c r="H50" s="58"/>
      <c r="I50" s="58"/>
      <c r="J50" s="58"/>
      <c r="K50" s="57"/>
      <c r="L50" s="57"/>
      <c r="M50" s="57"/>
      <c r="N50" s="57"/>
      <c r="O50" s="57"/>
      <c r="P50" s="58"/>
      <c r="Q50" s="58"/>
      <c r="R50" s="58"/>
      <c r="S50" s="58"/>
      <c r="T50" s="58"/>
      <c r="U50" s="57"/>
      <c r="V50" s="57"/>
      <c r="W50" s="57"/>
      <c r="X50" s="57"/>
      <c r="Y50" s="57"/>
      <c r="Z50" s="57"/>
      <c r="AA50" s="58"/>
      <c r="AB50" s="58"/>
      <c r="AC50" s="58"/>
      <c r="AD50" s="58"/>
      <c r="AE50" s="58"/>
      <c r="AF50" s="57"/>
      <c r="AG50" s="57"/>
      <c r="AH50" s="57"/>
      <c r="AI50" s="58"/>
      <c r="AJ50" s="58"/>
      <c r="AK50" s="58"/>
      <c r="AL50" s="57"/>
      <c r="AM50" s="57"/>
      <c r="AN50" s="57"/>
      <c r="AO50" s="57"/>
      <c r="AP50" s="57"/>
      <c r="AQ50" s="57"/>
      <c r="AR50" s="57"/>
      <c r="AS50" s="57"/>
    </row>
    <row r="51" spans="3:45" ht="16.5" customHeight="1">
      <c r="C51" s="59">
        <v>800</v>
      </c>
      <c r="D51" s="59">
        <v>575</v>
      </c>
      <c r="E51" s="57"/>
      <c r="F51" s="58"/>
      <c r="G51" s="58"/>
      <c r="H51" s="58"/>
      <c r="I51" s="58"/>
      <c r="J51" s="57"/>
      <c r="K51" s="57"/>
      <c r="L51" s="57"/>
      <c r="M51" s="57"/>
      <c r="N51" s="57"/>
      <c r="O51" s="57"/>
      <c r="P51" s="58"/>
      <c r="Q51" s="58"/>
      <c r="R51" s="58"/>
      <c r="S51" s="58"/>
      <c r="T51" s="58"/>
      <c r="U51" s="57"/>
      <c r="V51" s="57"/>
      <c r="W51" s="57"/>
      <c r="X51" s="57"/>
      <c r="Y51" s="57"/>
      <c r="Z51" s="58"/>
      <c r="AA51" s="58"/>
      <c r="AB51" s="58"/>
      <c r="AC51" s="58"/>
      <c r="AD51" s="58"/>
      <c r="AE51" s="57"/>
      <c r="AF51" s="57"/>
      <c r="AG51" s="57"/>
      <c r="AH51" s="58"/>
      <c r="AI51" s="58"/>
      <c r="AJ51" s="58"/>
      <c r="AK51" s="57"/>
      <c r="AL51" s="57"/>
      <c r="AM51" s="57"/>
      <c r="AN51" s="57"/>
      <c r="AO51" s="57"/>
      <c r="AP51" s="57"/>
      <c r="AQ51" s="57"/>
      <c r="AR51" s="57"/>
      <c r="AS51" s="57"/>
    </row>
    <row r="52" spans="3:45" ht="16.5" customHeight="1">
      <c r="C52" s="59">
        <v>775</v>
      </c>
      <c r="D52" s="59">
        <v>559</v>
      </c>
      <c r="E52" s="692" t="s">
        <v>79</v>
      </c>
      <c r="F52" s="693"/>
      <c r="G52" s="693"/>
      <c r="H52" s="694"/>
      <c r="I52" s="57"/>
      <c r="J52" s="57"/>
      <c r="K52" s="57"/>
      <c r="L52" s="57"/>
      <c r="M52" s="57"/>
      <c r="N52" s="57"/>
      <c r="O52" s="58"/>
      <c r="P52" s="58"/>
      <c r="Q52" s="58"/>
      <c r="R52" s="58"/>
      <c r="S52" s="58"/>
      <c r="T52" s="57"/>
      <c r="U52" s="57"/>
      <c r="V52" s="57"/>
      <c r="W52" s="57"/>
      <c r="X52" s="57"/>
      <c r="Y52" s="58"/>
      <c r="Z52" s="58"/>
      <c r="AA52" s="58"/>
      <c r="AB52" s="58"/>
      <c r="AC52" s="58"/>
      <c r="AD52" s="57"/>
      <c r="AE52" s="57"/>
      <c r="AF52" s="57"/>
      <c r="AG52" s="58"/>
      <c r="AH52" s="58"/>
      <c r="AI52" s="58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3:45" ht="16.5" customHeight="1">
      <c r="C53" s="59">
        <v>750</v>
      </c>
      <c r="D53" s="59">
        <v>543</v>
      </c>
      <c r="E53" s="58"/>
      <c r="F53" s="58"/>
      <c r="G53" s="58"/>
      <c r="H53" s="58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7"/>
      <c r="T53" s="57"/>
      <c r="U53" s="57"/>
      <c r="V53" s="57"/>
      <c r="W53" s="57"/>
      <c r="X53" s="58"/>
      <c r="Y53" s="58"/>
      <c r="Z53" s="58"/>
      <c r="AA53" s="58"/>
      <c r="AB53" s="58"/>
      <c r="AC53" s="57"/>
      <c r="AD53" s="57"/>
      <c r="AE53" s="57"/>
      <c r="AF53" s="58"/>
      <c r="AG53" s="58"/>
      <c r="AH53" s="58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3:45" ht="16.5" customHeight="1">
      <c r="C54" s="59">
        <v>725</v>
      </c>
      <c r="D54" s="59">
        <v>526</v>
      </c>
      <c r="E54" s="58"/>
      <c r="F54" s="58"/>
      <c r="G54" s="58"/>
      <c r="H54" s="57"/>
      <c r="I54" s="57"/>
      <c r="J54" s="57"/>
      <c r="K54" s="57"/>
      <c r="L54" s="57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8"/>
      <c r="X54" s="58"/>
      <c r="Y54" s="58"/>
      <c r="Z54" s="58"/>
      <c r="AA54" s="58"/>
      <c r="AB54" s="58"/>
      <c r="AC54" s="57"/>
      <c r="AD54" s="57"/>
      <c r="AE54" s="58"/>
      <c r="AF54" s="58"/>
      <c r="AG54" s="58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3:45" ht="16.5" customHeight="1">
      <c r="C55" s="59">
        <v>700</v>
      </c>
      <c r="D55" s="59">
        <v>510</v>
      </c>
      <c r="E55" s="58"/>
      <c r="F55" s="58"/>
      <c r="G55" s="57"/>
      <c r="H55" s="57"/>
      <c r="I55" s="57"/>
      <c r="J55" s="57"/>
      <c r="K55" s="57"/>
      <c r="L55" s="58"/>
      <c r="M55" s="58"/>
      <c r="N55" s="58"/>
      <c r="O55" s="58"/>
      <c r="P55" s="58"/>
      <c r="Q55" s="57"/>
      <c r="R55" s="57"/>
      <c r="S55" s="57"/>
      <c r="T55" s="57"/>
      <c r="U55" s="57"/>
      <c r="V55" s="58"/>
      <c r="W55" s="58"/>
      <c r="X55" s="58"/>
      <c r="Y55" s="58"/>
      <c r="Z55" s="58"/>
      <c r="AA55" s="58"/>
      <c r="AB55" s="57"/>
      <c r="AC55" s="57"/>
      <c r="AD55" s="58"/>
      <c r="AE55" s="58"/>
      <c r="AF55" s="58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3:45" ht="16.5" customHeight="1">
      <c r="C56" s="59">
        <v>675</v>
      </c>
      <c r="D56" s="59">
        <v>493</v>
      </c>
      <c r="E56" s="58"/>
      <c r="F56" s="58"/>
      <c r="G56" s="57"/>
      <c r="H56" s="57"/>
      <c r="I56" s="57"/>
      <c r="J56" s="57"/>
      <c r="K56" s="58"/>
      <c r="L56" s="58"/>
      <c r="M56" s="58"/>
      <c r="N56" s="58"/>
      <c r="O56" s="58"/>
      <c r="P56" s="58"/>
      <c r="Q56" s="57"/>
      <c r="R56" s="57"/>
      <c r="S56" s="57"/>
      <c r="T56" s="57"/>
      <c r="U56" s="57"/>
      <c r="V56" s="58"/>
      <c r="W56" s="58"/>
      <c r="X56" s="58"/>
      <c r="Y56" s="58"/>
      <c r="Z56" s="58"/>
      <c r="AA56" s="57"/>
      <c r="AB56" s="57"/>
      <c r="AC56" s="57"/>
      <c r="AD56" s="58"/>
      <c r="AE56" s="58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3:45" ht="16.5" customHeight="1">
      <c r="C57" s="59">
        <v>650</v>
      </c>
      <c r="D57" s="59">
        <v>477</v>
      </c>
      <c r="E57" s="58"/>
      <c r="F57" s="57"/>
      <c r="G57" s="57"/>
      <c r="H57" s="57"/>
      <c r="I57" s="57"/>
      <c r="J57" s="57"/>
      <c r="K57" s="58"/>
      <c r="L57" s="58"/>
      <c r="M57" s="58"/>
      <c r="N57" s="58"/>
      <c r="O57" s="58"/>
      <c r="P57" s="57"/>
      <c r="Q57" s="57"/>
      <c r="R57" s="57"/>
      <c r="S57" s="57"/>
      <c r="T57" s="57"/>
      <c r="U57" s="58"/>
      <c r="V57" s="58"/>
      <c r="W57" s="58"/>
      <c r="X57" s="58"/>
      <c r="Y57" s="58"/>
      <c r="Z57" s="57"/>
      <c r="AA57" s="57"/>
      <c r="AB57" s="57"/>
      <c r="AC57" s="58"/>
      <c r="AD57" s="58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3:45" ht="16.5" customHeight="1">
      <c r="C58" s="59">
        <v>625</v>
      </c>
      <c r="D58" s="59">
        <v>459</v>
      </c>
      <c r="E58" s="57"/>
      <c r="F58" s="689" t="s">
        <v>80</v>
      </c>
      <c r="G58" s="690"/>
      <c r="H58" s="690"/>
      <c r="I58" s="691"/>
      <c r="J58" s="58"/>
      <c r="K58" s="58"/>
      <c r="L58" s="58"/>
      <c r="M58" s="58"/>
      <c r="N58" s="58"/>
      <c r="O58" s="57"/>
      <c r="P58" s="57"/>
      <c r="Q58" s="57"/>
      <c r="R58" s="57"/>
      <c r="S58" s="57"/>
      <c r="T58" s="58"/>
      <c r="U58" s="58"/>
      <c r="V58" s="58"/>
      <c r="W58" s="58"/>
      <c r="X58" s="58"/>
      <c r="Y58" s="57"/>
      <c r="Z58" s="57"/>
      <c r="AA58" s="57"/>
      <c r="AB58" s="58"/>
      <c r="AC58" s="58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3:45" ht="16.5" customHeight="1">
      <c r="C59" s="59">
        <v>600</v>
      </c>
      <c r="D59" s="59">
        <v>440</v>
      </c>
      <c r="E59" s="57"/>
      <c r="F59" s="57"/>
      <c r="G59" s="57"/>
      <c r="H59" s="57"/>
      <c r="I59" s="58"/>
      <c r="J59" s="58"/>
      <c r="K59" s="58"/>
      <c r="L59" s="58"/>
      <c r="M59" s="58"/>
      <c r="N59" s="57"/>
      <c r="O59" s="57"/>
      <c r="P59" s="57"/>
      <c r="Q59" s="57"/>
      <c r="R59" s="57"/>
      <c r="S59" s="58"/>
      <c r="T59" s="58"/>
      <c r="U59" s="58"/>
      <c r="V59" s="58"/>
      <c r="W59" s="58"/>
      <c r="X59" s="57"/>
      <c r="Y59" s="57"/>
      <c r="Z59" s="57"/>
      <c r="AA59" s="58"/>
      <c r="AB59" s="58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3:45" ht="16.5" customHeight="1">
      <c r="C60" s="59">
        <v>575</v>
      </c>
      <c r="D60" s="59">
        <v>421</v>
      </c>
      <c r="E60" s="57"/>
      <c r="F60" s="57"/>
      <c r="G60" s="57"/>
      <c r="H60" s="58"/>
      <c r="I60" s="58"/>
      <c r="J60" s="58"/>
      <c r="K60" s="58"/>
      <c r="L60" s="58"/>
      <c r="M60" s="57"/>
      <c r="N60" s="57"/>
      <c r="O60" s="57"/>
      <c r="P60" s="57"/>
      <c r="Q60" s="57"/>
      <c r="R60" s="58"/>
      <c r="S60" s="58"/>
      <c r="T60" s="58"/>
      <c r="U60" s="58"/>
      <c r="V60" s="58"/>
      <c r="W60" s="57"/>
      <c r="X60" s="57"/>
      <c r="Y60" s="57"/>
      <c r="Z60" s="58"/>
      <c r="AA60" s="58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3:45" ht="16.5" customHeight="1">
      <c r="C61" s="59">
        <v>550</v>
      </c>
      <c r="D61" s="59">
        <v>401</v>
      </c>
      <c r="E61" s="57"/>
      <c r="F61" s="57"/>
      <c r="G61" s="58"/>
      <c r="H61" s="58"/>
      <c r="I61" s="58"/>
      <c r="J61" s="58"/>
      <c r="K61" s="58"/>
      <c r="L61" s="57"/>
      <c r="M61" s="57"/>
      <c r="N61" s="57"/>
      <c r="O61" s="57"/>
      <c r="P61" s="57"/>
      <c r="Q61" s="58"/>
      <c r="R61" s="58"/>
      <c r="S61" s="58"/>
      <c r="T61" s="58"/>
      <c r="U61" s="58"/>
      <c r="V61" s="57"/>
      <c r="W61" s="57"/>
      <c r="X61" s="57"/>
      <c r="Y61" s="58"/>
      <c r="Z61" s="58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3:45" ht="16.5" customHeight="1">
      <c r="C62" s="59">
        <v>525</v>
      </c>
      <c r="D62" s="59">
        <v>382</v>
      </c>
      <c r="E62" s="57"/>
      <c r="F62" s="58"/>
      <c r="G62" s="58"/>
      <c r="H62" s="58"/>
      <c r="I62" s="58"/>
      <c r="J62" s="58"/>
      <c r="K62" s="57"/>
      <c r="L62" s="57"/>
      <c r="M62" s="57"/>
      <c r="N62" s="57"/>
      <c r="O62" s="57"/>
      <c r="P62" s="58"/>
      <c r="Q62" s="58"/>
      <c r="R62" s="58"/>
      <c r="S62" s="58"/>
      <c r="T62" s="58"/>
      <c r="U62" s="57"/>
      <c r="V62" s="57"/>
      <c r="W62" s="57"/>
      <c r="X62" s="58"/>
      <c r="Y62" s="58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3:45" ht="16.5" customHeight="1">
      <c r="C63" s="59">
        <v>500</v>
      </c>
      <c r="D63" s="59">
        <v>363</v>
      </c>
      <c r="E63" s="692" t="s">
        <v>81</v>
      </c>
      <c r="F63" s="693"/>
      <c r="G63" s="693"/>
      <c r="H63" s="694"/>
      <c r="I63" s="58"/>
      <c r="J63" s="57"/>
      <c r="K63" s="57"/>
      <c r="L63" s="57"/>
      <c r="M63" s="57"/>
      <c r="N63" s="57"/>
      <c r="O63" s="58"/>
      <c r="P63" s="58"/>
      <c r="Q63" s="58"/>
      <c r="R63" s="58"/>
      <c r="S63" s="58"/>
      <c r="T63" s="57"/>
      <c r="U63" s="57"/>
      <c r="V63" s="57"/>
      <c r="W63" s="58"/>
      <c r="X63" s="58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3:45" ht="16.5" customHeight="1">
      <c r="C64" s="59">
        <v>475</v>
      </c>
      <c r="D64" s="59">
        <v>344</v>
      </c>
      <c r="E64" s="58"/>
      <c r="F64" s="58"/>
      <c r="G64" s="58"/>
      <c r="H64" s="58"/>
      <c r="I64" s="57"/>
      <c r="J64" s="57"/>
      <c r="K64" s="57"/>
      <c r="L64" s="57"/>
      <c r="M64" s="57"/>
      <c r="N64" s="58"/>
      <c r="O64" s="58"/>
      <c r="P64" s="58"/>
      <c r="Q64" s="58"/>
      <c r="R64" s="58"/>
      <c r="S64" s="57"/>
      <c r="T64" s="57"/>
      <c r="U64" s="57"/>
      <c r="V64" s="58"/>
      <c r="W64" s="58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3:45" ht="16.5" customHeight="1">
      <c r="C65" s="59">
        <v>450</v>
      </c>
      <c r="D65" s="59">
        <v>325</v>
      </c>
      <c r="E65" s="58"/>
      <c r="F65" s="58"/>
      <c r="G65" s="58"/>
      <c r="H65" s="57"/>
      <c r="I65" s="57"/>
      <c r="J65" s="57"/>
      <c r="K65" s="57"/>
      <c r="L65" s="57"/>
      <c r="M65" s="58"/>
      <c r="N65" s="58"/>
      <c r="O65" s="58"/>
      <c r="P65" s="58"/>
      <c r="Q65" s="58"/>
      <c r="R65" s="57"/>
      <c r="S65" s="57"/>
      <c r="T65" s="57"/>
      <c r="U65" s="58"/>
      <c r="V65" s="58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3:45" ht="16.5" customHeight="1">
      <c r="C66" s="59">
        <v>425</v>
      </c>
      <c r="D66" s="59">
        <v>308</v>
      </c>
      <c r="E66" s="58"/>
      <c r="F66" s="58"/>
      <c r="G66" s="57"/>
      <c r="H66" s="57"/>
      <c r="I66" s="57"/>
      <c r="J66" s="57"/>
      <c r="K66" s="57"/>
      <c r="L66" s="58"/>
      <c r="M66" s="58"/>
      <c r="N66" s="58"/>
      <c r="O66" s="58"/>
      <c r="P66" s="58"/>
      <c r="Q66" s="57"/>
      <c r="R66" s="57"/>
      <c r="S66" s="57"/>
      <c r="T66" s="58"/>
      <c r="U66" s="58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3:45" ht="16.5" customHeight="1">
      <c r="C67" s="59">
        <v>400</v>
      </c>
      <c r="D67" s="59">
        <v>290</v>
      </c>
      <c r="E67" s="58"/>
      <c r="F67" s="57"/>
      <c r="G67" s="57"/>
      <c r="H67" s="57"/>
      <c r="I67" s="57"/>
      <c r="J67" s="57"/>
      <c r="K67" s="58"/>
      <c r="L67" s="58"/>
      <c r="M67" s="58"/>
      <c r="N67" s="58"/>
      <c r="O67" s="58"/>
      <c r="P67" s="57"/>
      <c r="Q67" s="57"/>
      <c r="R67" s="57"/>
      <c r="S67" s="58"/>
      <c r="T67" s="58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</row>
    <row r="68" spans="3:45" ht="16.5" customHeight="1">
      <c r="C68" s="59">
        <v>375</v>
      </c>
      <c r="D68" s="59">
        <v>272</v>
      </c>
      <c r="E68" s="57"/>
      <c r="F68" s="57"/>
      <c r="G68" s="57"/>
      <c r="H68" s="57"/>
      <c r="I68" s="57"/>
      <c r="J68" s="58"/>
      <c r="K68" s="58"/>
      <c r="L68" s="58"/>
      <c r="M68" s="58"/>
      <c r="N68" s="58"/>
      <c r="O68" s="57"/>
      <c r="P68" s="57"/>
      <c r="Q68" s="57"/>
      <c r="R68" s="58"/>
      <c r="S68" s="58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</row>
    <row r="69" spans="3:45" ht="16.5" customHeight="1">
      <c r="C69" s="59">
        <v>350</v>
      </c>
      <c r="D69" s="59">
        <v>254</v>
      </c>
      <c r="E69" s="57"/>
      <c r="F69" s="57"/>
      <c r="G69" s="57"/>
      <c r="H69" s="57"/>
      <c r="I69" s="58"/>
      <c r="J69" s="58"/>
      <c r="K69" s="58"/>
      <c r="L69" s="58"/>
      <c r="M69" s="58"/>
      <c r="N69" s="57"/>
      <c r="O69" s="57"/>
      <c r="P69" s="57"/>
      <c r="Q69" s="58"/>
      <c r="R69" s="58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</row>
    <row r="70" spans="3:45" ht="16.5" customHeight="1">
      <c r="C70" s="59">
        <v>325</v>
      </c>
      <c r="D70" s="59">
        <v>236</v>
      </c>
      <c r="E70" s="57"/>
      <c r="F70" s="57"/>
      <c r="G70" s="57"/>
      <c r="H70" s="58"/>
      <c r="I70" s="58"/>
      <c r="J70" s="58"/>
      <c r="K70" s="58"/>
      <c r="L70" s="58"/>
      <c r="M70" s="57"/>
      <c r="N70" s="57"/>
      <c r="O70" s="57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spans="3:45" ht="16.5" customHeight="1">
      <c r="C71" s="59">
        <v>300</v>
      </c>
      <c r="D71" s="59">
        <v>217</v>
      </c>
      <c r="E71" s="57"/>
      <c r="F71" s="57"/>
      <c r="G71" s="58"/>
      <c r="H71" s="58"/>
      <c r="I71" s="58"/>
      <c r="J71" s="58"/>
      <c r="K71" s="58"/>
      <c r="L71" s="57"/>
      <c r="M71" s="57"/>
      <c r="N71" s="57"/>
      <c r="O71" s="58"/>
      <c r="P71" s="58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</row>
    <row r="72" spans="3:45" ht="16.5" customHeight="1">
      <c r="C72" s="59">
        <v>275</v>
      </c>
      <c r="D72" s="59">
        <v>199</v>
      </c>
      <c r="E72" s="57"/>
      <c r="F72" s="58"/>
      <c r="G72" s="58"/>
      <c r="H72" s="58"/>
      <c r="I72" s="58"/>
      <c r="J72" s="58"/>
      <c r="K72" s="57"/>
      <c r="L72" s="57"/>
      <c r="M72" s="57"/>
      <c r="N72" s="58"/>
      <c r="O72" s="58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3:45" ht="16.5" customHeight="1">
      <c r="C73" s="59">
        <v>250</v>
      </c>
      <c r="D73" s="59">
        <v>182</v>
      </c>
      <c r="E73" s="57"/>
      <c r="F73" s="58"/>
      <c r="G73" s="58"/>
      <c r="H73" s="58"/>
      <c r="I73" s="58"/>
      <c r="J73" s="57"/>
      <c r="K73" s="57"/>
      <c r="L73" s="57"/>
      <c r="M73" s="58"/>
      <c r="N73" s="58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3:45" ht="16.5" customHeight="1">
      <c r="C74" s="59">
        <v>225</v>
      </c>
      <c r="D74" s="59">
        <v>164</v>
      </c>
      <c r="E74" s="58"/>
      <c r="F74" s="58"/>
      <c r="G74" s="58"/>
      <c r="H74" s="58"/>
      <c r="I74" s="57"/>
      <c r="J74" s="57"/>
      <c r="K74" s="57"/>
      <c r="L74" s="58"/>
      <c r="M74" s="58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3:45" ht="16.5" customHeight="1">
      <c r="C75" s="59">
        <v>200</v>
      </c>
      <c r="D75" s="59">
        <v>147</v>
      </c>
      <c r="E75" s="58"/>
      <c r="F75" s="58"/>
      <c r="G75" s="58"/>
      <c r="H75" s="57"/>
      <c r="I75" s="57"/>
      <c r="J75" s="57"/>
      <c r="K75" s="58"/>
      <c r="L75" s="58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3:45" ht="16.5" customHeight="1">
      <c r="C76" s="59">
        <v>175</v>
      </c>
      <c r="D76" s="59">
        <v>129</v>
      </c>
      <c r="E76" s="58"/>
      <c r="F76" s="58"/>
      <c r="G76" s="57"/>
      <c r="H76" s="57"/>
      <c r="I76" s="57"/>
      <c r="J76" s="58"/>
      <c r="K76" s="58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spans="3:45" ht="16.5" customHeight="1">
      <c r="C77" s="59">
        <v>150</v>
      </c>
      <c r="D77" s="59">
        <v>112</v>
      </c>
      <c r="E77" s="58"/>
      <c r="F77" s="58"/>
      <c r="G77" s="57"/>
      <c r="H77" s="57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</row>
    <row r="78" spans="3:45" ht="16.5" customHeight="1">
      <c r="C78" s="59">
        <v>125</v>
      </c>
      <c r="D78" s="59">
        <v>96</v>
      </c>
      <c r="E78" s="58"/>
      <c r="F78" s="57"/>
      <c r="G78" s="57"/>
      <c r="H78" s="58"/>
      <c r="I78" s="58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3:45" ht="16.5" customHeight="1">
      <c r="C79" s="59">
        <v>100</v>
      </c>
      <c r="D79" s="59">
        <v>78</v>
      </c>
      <c r="E79" s="57"/>
      <c r="F79" s="57"/>
      <c r="G79" s="58"/>
      <c r="H79" s="58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3:45" ht="16.5" customHeight="1">
      <c r="C80" s="59">
        <v>75</v>
      </c>
      <c r="D80" s="59">
        <v>59</v>
      </c>
      <c r="E80" s="57"/>
      <c r="F80" s="58"/>
      <c r="G80" s="5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spans="3:45" ht="16.5" customHeight="1">
      <c r="C81" s="59">
        <v>50</v>
      </c>
      <c r="D81" s="59">
        <v>39</v>
      </c>
      <c r="E81" s="58"/>
      <c r="F81" s="5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3:45" ht="16.5" customHeight="1">
      <c r="C82" s="59">
        <v>25</v>
      </c>
      <c r="D82" s="59">
        <v>20</v>
      </c>
      <c r="E82" s="5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3:45" ht="16.5" customHeight="1">
      <c r="C83" s="59">
        <v>0</v>
      </c>
      <c r="D83" s="59">
        <v>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</row>
    <row r="84" spans="3:45" ht="16.5" customHeight="1">
      <c r="C84" s="59"/>
      <c r="D84" s="60" t="s">
        <v>82</v>
      </c>
      <c r="E84" s="61">
        <v>0</v>
      </c>
      <c r="F84" s="61">
        <f aca="true" t="shared" si="0" ref="F84:AS84">VLOOKUP(F85,$C5:$D83,2,0)</f>
        <v>20</v>
      </c>
      <c r="G84" s="61">
        <f t="shared" si="0"/>
        <v>39</v>
      </c>
      <c r="H84" s="61">
        <f t="shared" si="0"/>
        <v>59</v>
      </c>
      <c r="I84" s="61">
        <f t="shared" si="0"/>
        <v>78</v>
      </c>
      <c r="J84" s="61">
        <f t="shared" si="0"/>
        <v>96</v>
      </c>
      <c r="K84" s="61">
        <f t="shared" si="0"/>
        <v>112</v>
      </c>
      <c r="L84" s="61">
        <f t="shared" si="0"/>
        <v>129</v>
      </c>
      <c r="M84" s="61">
        <f t="shared" si="0"/>
        <v>147</v>
      </c>
      <c r="N84" s="61">
        <f t="shared" si="0"/>
        <v>164</v>
      </c>
      <c r="O84" s="61">
        <f t="shared" si="0"/>
        <v>182</v>
      </c>
      <c r="P84" s="61">
        <f t="shared" si="0"/>
        <v>199</v>
      </c>
      <c r="Q84" s="61">
        <f t="shared" si="0"/>
        <v>217</v>
      </c>
      <c r="R84" s="61">
        <f t="shared" si="0"/>
        <v>236</v>
      </c>
      <c r="S84" s="61">
        <f t="shared" si="0"/>
        <v>254</v>
      </c>
      <c r="T84" s="61">
        <f t="shared" si="0"/>
        <v>272</v>
      </c>
      <c r="U84" s="61">
        <f t="shared" si="0"/>
        <v>290</v>
      </c>
      <c r="V84" s="61">
        <f t="shared" si="0"/>
        <v>308</v>
      </c>
      <c r="W84" s="61">
        <f t="shared" si="0"/>
        <v>325</v>
      </c>
      <c r="X84" s="61">
        <f t="shared" si="0"/>
        <v>344</v>
      </c>
      <c r="Y84" s="61">
        <f t="shared" si="0"/>
        <v>363</v>
      </c>
      <c r="Z84" s="61">
        <f t="shared" si="0"/>
        <v>382</v>
      </c>
      <c r="AA84" s="61">
        <f t="shared" si="0"/>
        <v>401</v>
      </c>
      <c r="AB84" s="61">
        <f t="shared" si="0"/>
        <v>421</v>
      </c>
      <c r="AC84" s="61">
        <f t="shared" si="0"/>
        <v>440</v>
      </c>
      <c r="AD84" s="61">
        <f t="shared" si="0"/>
        <v>459</v>
      </c>
      <c r="AE84" s="61">
        <f t="shared" si="0"/>
        <v>477</v>
      </c>
      <c r="AF84" s="61">
        <f t="shared" si="0"/>
        <v>493</v>
      </c>
      <c r="AG84" s="61">
        <f t="shared" si="0"/>
        <v>510</v>
      </c>
      <c r="AH84" s="61">
        <f t="shared" si="0"/>
        <v>526</v>
      </c>
      <c r="AI84" s="61">
        <f t="shared" si="0"/>
        <v>543</v>
      </c>
      <c r="AJ84" s="61">
        <f t="shared" si="0"/>
        <v>559</v>
      </c>
      <c r="AK84" s="61">
        <f t="shared" si="0"/>
        <v>575</v>
      </c>
      <c r="AL84" s="61">
        <f t="shared" si="0"/>
        <v>592</v>
      </c>
      <c r="AM84" s="61">
        <f t="shared" si="0"/>
        <v>608</v>
      </c>
      <c r="AN84" s="61">
        <f t="shared" si="0"/>
        <v>624</v>
      </c>
      <c r="AO84" s="61">
        <f t="shared" si="0"/>
        <v>641</v>
      </c>
      <c r="AP84" s="61">
        <f t="shared" si="0"/>
        <v>657</v>
      </c>
      <c r="AQ84" s="61">
        <f t="shared" si="0"/>
        <v>674</v>
      </c>
      <c r="AR84" s="61">
        <f t="shared" si="0"/>
        <v>691</v>
      </c>
      <c r="AS84" s="62">
        <f t="shared" si="0"/>
        <v>710</v>
      </c>
    </row>
    <row r="85" spans="3:45" ht="16.5" customHeight="1">
      <c r="C85" s="687" t="s">
        <v>83</v>
      </c>
      <c r="D85" s="688"/>
      <c r="E85" s="61">
        <v>0</v>
      </c>
      <c r="F85" s="61">
        <v>25</v>
      </c>
      <c r="G85" s="61">
        <v>50</v>
      </c>
      <c r="H85" s="61">
        <v>75</v>
      </c>
      <c r="I85" s="61">
        <v>100</v>
      </c>
      <c r="J85" s="61">
        <v>125</v>
      </c>
      <c r="K85" s="61">
        <v>150</v>
      </c>
      <c r="L85" s="61">
        <v>175</v>
      </c>
      <c r="M85" s="61">
        <v>200</v>
      </c>
      <c r="N85" s="61">
        <v>225</v>
      </c>
      <c r="O85" s="61">
        <v>250</v>
      </c>
      <c r="P85" s="61">
        <v>275</v>
      </c>
      <c r="Q85" s="61">
        <v>300</v>
      </c>
      <c r="R85" s="61">
        <v>325</v>
      </c>
      <c r="S85" s="61">
        <v>350</v>
      </c>
      <c r="T85" s="61">
        <v>375</v>
      </c>
      <c r="U85" s="61">
        <v>400</v>
      </c>
      <c r="V85" s="61">
        <v>425</v>
      </c>
      <c r="W85" s="61">
        <v>450</v>
      </c>
      <c r="X85" s="61">
        <v>475</v>
      </c>
      <c r="Y85" s="61">
        <v>500</v>
      </c>
      <c r="Z85" s="61">
        <v>525</v>
      </c>
      <c r="AA85" s="61">
        <v>550</v>
      </c>
      <c r="AB85" s="61">
        <v>575</v>
      </c>
      <c r="AC85" s="61">
        <v>600</v>
      </c>
      <c r="AD85" s="61">
        <v>625</v>
      </c>
      <c r="AE85" s="61">
        <v>650</v>
      </c>
      <c r="AF85" s="61">
        <v>675</v>
      </c>
      <c r="AG85" s="61">
        <v>700</v>
      </c>
      <c r="AH85" s="61">
        <v>725</v>
      </c>
      <c r="AI85" s="61">
        <v>750</v>
      </c>
      <c r="AJ85" s="61">
        <v>775</v>
      </c>
      <c r="AK85" s="61">
        <v>800</v>
      </c>
      <c r="AL85" s="61">
        <v>825</v>
      </c>
      <c r="AM85" s="61">
        <v>850</v>
      </c>
      <c r="AN85" s="61">
        <v>875</v>
      </c>
      <c r="AO85" s="61">
        <v>900</v>
      </c>
      <c r="AP85" s="61">
        <v>925</v>
      </c>
      <c r="AQ85" s="61">
        <v>950</v>
      </c>
      <c r="AR85" s="61">
        <v>975</v>
      </c>
      <c r="AS85" s="62">
        <v>1000</v>
      </c>
    </row>
    <row r="86" spans="5:15" ht="16.5" customHeight="1">
      <c r="E86" s="63" t="s">
        <v>84</v>
      </c>
      <c r="F86" s="63" t="s">
        <v>85</v>
      </c>
      <c r="G86" s="63" t="s">
        <v>86</v>
      </c>
      <c r="H86" s="63" t="s">
        <v>64</v>
      </c>
      <c r="I86" s="63" t="s">
        <v>65</v>
      </c>
      <c r="J86" s="63" t="s">
        <v>66</v>
      </c>
      <c r="K86" s="63" t="s">
        <v>68</v>
      </c>
      <c r="L86" s="63" t="s">
        <v>69</v>
      </c>
      <c r="M86" s="63" t="s">
        <v>70</v>
      </c>
      <c r="N86" s="63" t="s">
        <v>71</v>
      </c>
      <c r="O86" s="63" t="s">
        <v>72</v>
      </c>
    </row>
  </sheetData>
  <sheetProtection/>
  <mergeCells count="13">
    <mergeCell ref="C2:D2"/>
    <mergeCell ref="E3:H3"/>
    <mergeCell ref="F8:I8"/>
    <mergeCell ref="F14:I14"/>
    <mergeCell ref="F20:I20"/>
    <mergeCell ref="E28:H28"/>
    <mergeCell ref="C85:D85"/>
    <mergeCell ref="E35:H35"/>
    <mergeCell ref="F40:I40"/>
    <mergeCell ref="F45:I45"/>
    <mergeCell ref="E52:H52"/>
    <mergeCell ref="F58:I58"/>
    <mergeCell ref="E63:H63"/>
  </mergeCells>
  <printOptions/>
  <pageMargins left="0.1968503937007874" right="0.1968503937007874" top="0.7874015748031497" bottom="0.7874015748031497" header="0.3937007874015748" footer="0.3937007874015748"/>
  <pageSetup horizontalDpi="1200" verticalDpi="12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D8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54" bestFit="1" customWidth="1"/>
    <col min="2" max="2" width="2.8515625" style="54" bestFit="1" customWidth="1"/>
    <col min="3" max="3" width="5.8515625" style="54" bestFit="1" customWidth="1"/>
    <col min="4" max="4" width="5.28125" style="54" customWidth="1"/>
    <col min="5" max="44" width="4.00390625" style="54" customWidth="1"/>
    <col min="45" max="45" width="6.140625" style="54" bestFit="1" customWidth="1"/>
    <col min="46" max="46" width="2.421875" style="54" bestFit="1" customWidth="1"/>
    <col min="47" max="47" width="2.421875" style="54" customWidth="1"/>
    <col min="48" max="56" width="12.57421875" style="54" customWidth="1"/>
    <col min="57" max="16384" width="9.00390625" style="54" customWidth="1"/>
  </cols>
  <sheetData>
    <row r="2" spans="3:56" ht="16.5" customHeight="1">
      <c r="C2" s="696">
        <v>1</v>
      </c>
      <c r="D2" s="696"/>
      <c r="E2" s="63" t="s">
        <v>433</v>
      </c>
      <c r="F2" s="63" t="s">
        <v>434</v>
      </c>
      <c r="G2" s="63" t="s">
        <v>435</v>
      </c>
      <c r="H2" s="63" t="s">
        <v>436</v>
      </c>
      <c r="I2" s="63" t="s">
        <v>56</v>
      </c>
      <c r="J2" s="63">
        <f>IF(C2=0,"",IF(C2&lt;3,1,IF(C2&lt;6,2,3)))</f>
        <v>1</v>
      </c>
      <c r="K2" s="63" t="s">
        <v>87</v>
      </c>
      <c r="L2" s="63" t="s">
        <v>88</v>
      </c>
      <c r="M2" s="224" t="str">
        <f>IF(C2=0,"",CHOOSE(C2,"子０～１４歳）","子１５歳以上）","第１子及び第２子０～１４歳）","第１子１５歳以上、第２子０～１４歳）","第１子及び第２子１５歳以上）","第１子、第２子及び第３子０～１４歳）","第１子１５歳以上、第２子及び第３子０～１４歳）","第１子及び第２子１５歳以上、第３子０～１４歳）","第１子、第２子及び第３子１５歳以上）"))</f>
        <v>子０～１４歳）</v>
      </c>
      <c r="N2" s="63"/>
      <c r="O2" s="63"/>
      <c r="P2" s="63"/>
      <c r="Q2" s="63"/>
      <c r="AV2" s="65">
        <v>1</v>
      </c>
      <c r="AW2" s="65">
        <v>2</v>
      </c>
      <c r="AX2" s="65">
        <v>3</v>
      </c>
      <c r="AY2" s="65">
        <v>4</v>
      </c>
      <c r="AZ2" s="65">
        <v>5</v>
      </c>
      <c r="BA2" s="65">
        <v>6</v>
      </c>
      <c r="BB2" s="65">
        <v>7</v>
      </c>
      <c r="BC2" s="65">
        <v>8</v>
      </c>
      <c r="BD2" s="65">
        <v>9</v>
      </c>
    </row>
    <row r="3" spans="2:56" ht="17.25" customHeight="1">
      <c r="B3" s="55" t="s">
        <v>89</v>
      </c>
      <c r="C3" s="220">
        <v>2000</v>
      </c>
      <c r="D3" s="220">
        <v>1567</v>
      </c>
      <c r="E3" s="235" t="str">
        <f>IF(HLOOKUP($C$2,$AV$2:$BD$83,2,0)=0,"",HLOOKUP($C$2,$AV$2:$BD$83,2,0))</f>
        <v>２４～２６万円</v>
      </c>
      <c r="F3" s="236"/>
      <c r="G3" s="236"/>
      <c r="H3" s="237"/>
      <c r="I3" s="238"/>
      <c r="J3" s="238"/>
      <c r="K3" s="238"/>
      <c r="L3" s="228"/>
      <c r="M3" s="228"/>
      <c r="N3" s="228"/>
      <c r="O3" s="228"/>
      <c r="P3" s="228"/>
      <c r="Q3" s="228"/>
      <c r="R3" s="228"/>
      <c r="S3" s="228"/>
      <c r="T3" s="228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225"/>
      <c r="AU3" s="225"/>
      <c r="AV3" s="65" t="s">
        <v>432</v>
      </c>
      <c r="AW3" s="65" t="s">
        <v>438</v>
      </c>
      <c r="AX3" s="65" t="s">
        <v>439</v>
      </c>
      <c r="AY3" s="65"/>
      <c r="AZ3" s="65"/>
      <c r="BA3" s="65"/>
      <c r="BB3" s="65"/>
      <c r="BC3" s="65"/>
      <c r="BD3" s="65"/>
    </row>
    <row r="4" spans="2:56" ht="17.25" customHeight="1">
      <c r="B4" s="55" t="s">
        <v>62</v>
      </c>
      <c r="C4" s="221">
        <v>1975</v>
      </c>
      <c r="D4" s="221">
        <v>1546</v>
      </c>
      <c r="E4" s="239"/>
      <c r="F4" s="239">
        <f>IF(HLOOKUP($C$2,$AV$2:$BD$83,3,0)=0,"",HLOOKUP($C$2,$AV$2:$BD$83,3,0))</f>
      </c>
      <c r="G4" s="239"/>
      <c r="H4" s="239"/>
      <c r="I4" s="239"/>
      <c r="J4" s="238"/>
      <c r="K4" s="228"/>
      <c r="L4" s="228"/>
      <c r="M4" s="228"/>
      <c r="N4" s="228"/>
      <c r="O4" s="228"/>
      <c r="P4" s="228"/>
      <c r="Q4" s="228"/>
      <c r="R4" s="228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225"/>
      <c r="AU4" s="225"/>
      <c r="AV4" s="65"/>
      <c r="AW4" s="65"/>
      <c r="AX4" s="65" t="s">
        <v>440</v>
      </c>
      <c r="AY4" s="65"/>
      <c r="AZ4" s="65"/>
      <c r="BA4" s="65"/>
      <c r="BB4" s="65"/>
      <c r="BC4" s="65"/>
      <c r="BD4" s="65"/>
    </row>
    <row r="5" spans="2:56" ht="17.25" customHeight="1">
      <c r="B5" s="55" t="s">
        <v>63</v>
      </c>
      <c r="C5" s="221">
        <v>1950</v>
      </c>
      <c r="D5" s="221">
        <v>1524</v>
      </c>
      <c r="E5" s="239"/>
      <c r="F5" s="239" t="str">
        <f>IF(HLOOKUP($C$2,$AV$2:$BD$83,4,0)=0,"",HLOOKUP($C$2,$AV$2:$BD$83,4,0))</f>
        <v>２２～２４万円</v>
      </c>
      <c r="G5" s="239"/>
      <c r="H5" s="239"/>
      <c r="I5" s="239"/>
      <c r="J5" s="228"/>
      <c r="K5" s="228"/>
      <c r="L5" s="228"/>
      <c r="M5" s="228"/>
      <c r="N5" s="228"/>
      <c r="O5" s="228"/>
      <c r="P5" s="228"/>
      <c r="Q5" s="228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225"/>
      <c r="AU5" s="225"/>
      <c r="AV5" s="65" t="s">
        <v>437</v>
      </c>
      <c r="AW5" s="65"/>
      <c r="AX5" s="65"/>
      <c r="AY5" s="65"/>
      <c r="AZ5" s="65"/>
      <c r="BA5" s="65"/>
      <c r="BB5" s="65"/>
      <c r="BC5" s="65"/>
      <c r="BD5" s="65"/>
    </row>
    <row r="6" spans="2:56" ht="17.25" customHeight="1">
      <c r="B6" s="55" t="s">
        <v>64</v>
      </c>
      <c r="C6" s="221">
        <v>1925</v>
      </c>
      <c r="D6" s="221">
        <v>1503</v>
      </c>
      <c r="E6" s="239"/>
      <c r="F6" s="239">
        <f>IF(HLOOKUP($C$2,$AV$2:$BD$83,5,0)=0,"",HLOOKUP($C$2,$AV$2:$BD$83,5,0))</f>
      </c>
      <c r="G6" s="239"/>
      <c r="H6" s="239"/>
      <c r="I6" s="228"/>
      <c r="J6" s="228"/>
      <c r="K6" s="228"/>
      <c r="L6" s="228"/>
      <c r="M6" s="228"/>
      <c r="N6" s="228"/>
      <c r="O6" s="228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225"/>
      <c r="AU6" s="225"/>
      <c r="AV6" s="65"/>
      <c r="AW6" s="65" t="s">
        <v>441</v>
      </c>
      <c r="AX6" s="65" t="s">
        <v>443</v>
      </c>
      <c r="AY6" s="65"/>
      <c r="AZ6" s="65"/>
      <c r="BA6" s="65"/>
      <c r="BB6" s="65"/>
      <c r="BC6" s="65"/>
      <c r="BD6" s="65"/>
    </row>
    <row r="7" spans="2:56" ht="17.25" customHeight="1">
      <c r="B7" s="55" t="s">
        <v>65</v>
      </c>
      <c r="C7" s="221">
        <v>1900</v>
      </c>
      <c r="D7" s="221">
        <v>1482</v>
      </c>
      <c r="E7" s="239"/>
      <c r="F7" s="239"/>
      <c r="G7" s="239"/>
      <c r="H7" s="228"/>
      <c r="I7" s="228"/>
      <c r="J7" s="228"/>
      <c r="K7" s="228"/>
      <c r="L7" s="228"/>
      <c r="M7" s="228"/>
      <c r="N7" s="228"/>
      <c r="O7" s="234"/>
      <c r="P7" s="234"/>
      <c r="Q7" s="234"/>
      <c r="R7" s="234"/>
      <c r="S7" s="234"/>
      <c r="T7" s="234"/>
      <c r="U7" s="234"/>
      <c r="V7" s="234"/>
      <c r="W7" s="234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8"/>
      <c r="AT7" s="226"/>
      <c r="AU7" s="226"/>
      <c r="AV7" s="65"/>
      <c r="AW7" s="65"/>
      <c r="AX7" s="65"/>
      <c r="AY7" s="65"/>
      <c r="AZ7" s="65"/>
      <c r="BA7" s="65"/>
      <c r="BB7" s="65"/>
      <c r="BC7" s="65"/>
      <c r="BD7" s="65"/>
    </row>
    <row r="8" spans="2:56" ht="17.25" customHeight="1">
      <c r="B8" s="55" t="s">
        <v>66</v>
      </c>
      <c r="C8" s="221">
        <v>1875</v>
      </c>
      <c r="D8" s="221">
        <v>1461</v>
      </c>
      <c r="E8" s="239"/>
      <c r="F8" s="239"/>
      <c r="G8" s="228"/>
      <c r="H8" s="228"/>
      <c r="I8" s="231" t="str">
        <f>IF(HLOOKUP($C$2,$AV$2:$BD$83,7,0)=0,"",HLOOKUP($C$2,$AV$2:$BD$83,7,0))</f>
        <v>２０～２２万円</v>
      </c>
      <c r="J8" s="229"/>
      <c r="K8" s="230"/>
      <c r="L8" s="228"/>
      <c r="M8" s="228"/>
      <c r="N8" s="234"/>
      <c r="O8" s="234"/>
      <c r="P8" s="234"/>
      <c r="Q8" s="234"/>
      <c r="R8" s="234"/>
      <c r="S8" s="234"/>
      <c r="T8" s="234"/>
      <c r="U8" s="234"/>
      <c r="V8" s="234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  <c r="AR8" s="58"/>
      <c r="AS8" s="58"/>
      <c r="AT8" s="226"/>
      <c r="AU8" s="226"/>
      <c r="AV8" s="65" t="s">
        <v>442</v>
      </c>
      <c r="AW8" s="65" t="s">
        <v>432</v>
      </c>
      <c r="AX8" s="65"/>
      <c r="AY8" s="65"/>
      <c r="AZ8" s="65"/>
      <c r="BA8" s="65"/>
      <c r="BB8" s="65"/>
      <c r="BC8" s="65"/>
      <c r="BD8" s="65"/>
    </row>
    <row r="9" spans="2:56" ht="17.25" customHeight="1">
      <c r="B9" s="55" t="s">
        <v>68</v>
      </c>
      <c r="C9" s="221">
        <v>1850</v>
      </c>
      <c r="D9" s="221">
        <v>1439</v>
      </c>
      <c r="E9" s="239"/>
      <c r="F9" s="228"/>
      <c r="G9" s="228"/>
      <c r="H9" s="228"/>
      <c r="I9" s="228"/>
      <c r="J9" s="228"/>
      <c r="K9" s="228"/>
      <c r="L9" s="228"/>
      <c r="M9" s="234"/>
      <c r="N9" s="234"/>
      <c r="O9" s="234"/>
      <c r="P9" s="234"/>
      <c r="Q9" s="234"/>
      <c r="R9" s="234"/>
      <c r="S9" s="234"/>
      <c r="T9" s="234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8"/>
      <c r="AP9" s="58"/>
      <c r="AQ9" s="58"/>
      <c r="AR9" s="58"/>
      <c r="AS9" s="58"/>
      <c r="AT9" s="226"/>
      <c r="AU9" s="226"/>
      <c r="AV9" s="65"/>
      <c r="AW9" s="65"/>
      <c r="AX9" s="65"/>
      <c r="AY9" s="65"/>
      <c r="AZ9" s="65"/>
      <c r="BA9" s="65"/>
      <c r="BB9" s="65"/>
      <c r="BC9" s="65"/>
      <c r="BD9" s="65"/>
    </row>
    <row r="10" spans="2:56" ht="17.25" customHeight="1">
      <c r="B10" s="55" t="s">
        <v>69</v>
      </c>
      <c r="C10" s="221">
        <v>1825</v>
      </c>
      <c r="D10" s="221">
        <v>1418</v>
      </c>
      <c r="E10" s="239"/>
      <c r="F10" s="228"/>
      <c r="G10" s="228"/>
      <c r="H10" s="228"/>
      <c r="I10" s="228"/>
      <c r="J10" s="228"/>
      <c r="K10" s="228"/>
      <c r="L10" s="234"/>
      <c r="M10" s="234"/>
      <c r="N10" s="234"/>
      <c r="O10" s="234"/>
      <c r="P10" s="234"/>
      <c r="Q10" s="234"/>
      <c r="R10" s="234"/>
      <c r="S10" s="23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58"/>
      <c r="AO10" s="58"/>
      <c r="AP10" s="58"/>
      <c r="AQ10" s="58"/>
      <c r="AR10" s="58"/>
      <c r="AS10" s="58"/>
      <c r="AT10" s="226"/>
      <c r="AU10" s="226"/>
      <c r="AV10" s="65"/>
      <c r="AW10" s="65"/>
      <c r="AX10" s="65"/>
      <c r="AY10" s="65"/>
      <c r="AZ10" s="65"/>
      <c r="BA10" s="65"/>
      <c r="BB10" s="65"/>
      <c r="BC10" s="65"/>
      <c r="BD10" s="65"/>
    </row>
    <row r="11" spans="2:56" ht="17.25" customHeight="1">
      <c r="B11" s="55" t="s">
        <v>70</v>
      </c>
      <c r="C11" s="221">
        <v>1800</v>
      </c>
      <c r="D11" s="221">
        <v>1398</v>
      </c>
      <c r="E11" s="228"/>
      <c r="F11" s="228"/>
      <c r="G11" s="228"/>
      <c r="H11" s="228"/>
      <c r="I11" s="228"/>
      <c r="J11" s="234"/>
      <c r="K11" s="234"/>
      <c r="L11" s="234"/>
      <c r="M11" s="234"/>
      <c r="N11" s="234"/>
      <c r="O11" s="234"/>
      <c r="P11" s="234"/>
      <c r="Q11" s="234"/>
      <c r="R11" s="234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8"/>
      <c r="AN11" s="58"/>
      <c r="AO11" s="58"/>
      <c r="AP11" s="58"/>
      <c r="AQ11" s="58"/>
      <c r="AR11" s="58"/>
      <c r="AS11" s="58"/>
      <c r="AT11" s="226"/>
      <c r="AU11" s="226"/>
      <c r="AV11" s="65"/>
      <c r="AW11" s="65"/>
      <c r="AX11" s="65"/>
      <c r="AY11" s="65"/>
      <c r="AZ11" s="65"/>
      <c r="BA11" s="65"/>
      <c r="BB11" s="65"/>
      <c r="BC11" s="65"/>
      <c r="BD11" s="65"/>
    </row>
    <row r="12" spans="2:56" ht="17.25" customHeight="1">
      <c r="B12" s="55" t="s">
        <v>71</v>
      </c>
      <c r="C12" s="221">
        <v>1775</v>
      </c>
      <c r="D12" s="221">
        <v>1377</v>
      </c>
      <c r="E12" s="228"/>
      <c r="F12" s="228"/>
      <c r="G12" s="228"/>
      <c r="H12" s="228"/>
      <c r="I12" s="234"/>
      <c r="J12" s="234"/>
      <c r="K12" s="234"/>
      <c r="L12" s="234"/>
      <c r="M12" s="234"/>
      <c r="N12" s="234"/>
      <c r="O12" s="234"/>
      <c r="P12" s="234"/>
      <c r="Q12" s="234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226"/>
      <c r="AU12" s="226"/>
      <c r="AV12" s="65"/>
      <c r="AW12" s="65"/>
      <c r="AX12" s="65"/>
      <c r="AY12" s="65"/>
      <c r="AZ12" s="65"/>
      <c r="BA12" s="65"/>
      <c r="BB12" s="65"/>
      <c r="BC12" s="65"/>
      <c r="BD12" s="65"/>
    </row>
    <row r="13" spans="2:56" ht="17.25" customHeight="1">
      <c r="B13" s="55" t="s">
        <v>72</v>
      </c>
      <c r="C13" s="221">
        <v>1750</v>
      </c>
      <c r="D13" s="221">
        <v>1356</v>
      </c>
      <c r="E13" s="228"/>
      <c r="F13" s="228"/>
      <c r="G13" s="228"/>
      <c r="H13" s="234"/>
      <c r="I13" s="234">
        <f>IF(HLOOKUP($C$2,$AV$2:$BD$83,12,0)=0,"",HLOOKUP($C$2,$AV$2:$BD$83,12,0))</f>
      </c>
      <c r="J13" s="234"/>
      <c r="K13" s="234"/>
      <c r="L13" s="234"/>
      <c r="M13" s="234"/>
      <c r="N13" s="234"/>
      <c r="O13" s="234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226"/>
      <c r="AU13" s="226"/>
      <c r="AV13" s="65"/>
      <c r="AW13" s="65" t="s">
        <v>437</v>
      </c>
      <c r="AX13" s="65"/>
      <c r="AY13" s="65"/>
      <c r="AZ13" s="65"/>
      <c r="BA13" s="65"/>
      <c r="BB13" s="65"/>
      <c r="BC13" s="65"/>
      <c r="BD13" s="65"/>
    </row>
    <row r="14" spans="3:56" ht="17.25" customHeight="1">
      <c r="C14" s="221">
        <v>1725</v>
      </c>
      <c r="D14" s="221">
        <v>1335</v>
      </c>
      <c r="E14" s="228"/>
      <c r="F14" s="228"/>
      <c r="G14" s="228"/>
      <c r="H14" s="234"/>
      <c r="I14" s="234" t="str">
        <f>IF(HLOOKUP($C$2,$AV$2:$BD$83,13,0)=0,"",HLOOKUP($C$2,$AV$2:$BD$83,13,0))</f>
        <v>１８～２０万円</v>
      </c>
      <c r="J14" s="234"/>
      <c r="K14" s="234"/>
      <c r="L14" s="234"/>
      <c r="M14" s="234"/>
      <c r="N14" s="234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26"/>
      <c r="AU14" s="226"/>
      <c r="AV14" s="65" t="s">
        <v>444</v>
      </c>
      <c r="AW14" s="65"/>
      <c r="AX14" s="65"/>
      <c r="AY14" s="65"/>
      <c r="AZ14" s="65"/>
      <c r="BA14" s="65"/>
      <c r="BB14" s="65"/>
      <c r="BC14" s="65"/>
      <c r="BD14" s="65"/>
    </row>
    <row r="15" spans="3:56" ht="17.25" customHeight="1">
      <c r="C15" s="221">
        <v>1700</v>
      </c>
      <c r="D15" s="221">
        <v>1314</v>
      </c>
      <c r="E15" s="228"/>
      <c r="F15" s="228"/>
      <c r="G15" s="234"/>
      <c r="H15" s="234"/>
      <c r="I15" s="234"/>
      <c r="J15" s="234"/>
      <c r="K15" s="234"/>
      <c r="L15" s="234"/>
      <c r="M15" s="234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26"/>
      <c r="AU15" s="226"/>
      <c r="AV15" s="65"/>
      <c r="AW15" s="65"/>
      <c r="AX15" s="65"/>
      <c r="AY15" s="65"/>
      <c r="AZ15" s="65"/>
      <c r="BA15" s="65"/>
      <c r="BB15" s="65"/>
      <c r="BC15" s="65"/>
      <c r="BD15" s="65"/>
    </row>
    <row r="16" spans="3:56" ht="17.25" customHeight="1">
      <c r="C16" s="221">
        <v>1675</v>
      </c>
      <c r="D16" s="221">
        <v>1293</v>
      </c>
      <c r="E16" s="228"/>
      <c r="F16" s="234"/>
      <c r="G16" s="234"/>
      <c r="H16" s="234"/>
      <c r="I16" s="232"/>
      <c r="J16" s="234"/>
      <c r="K16" s="233"/>
      <c r="L16" s="23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226"/>
      <c r="AU16" s="226"/>
      <c r="AV16" s="65"/>
      <c r="AW16" s="65"/>
      <c r="AX16" s="65"/>
      <c r="AY16" s="65"/>
      <c r="AZ16" s="65"/>
      <c r="BA16" s="65"/>
      <c r="BB16" s="65"/>
      <c r="BC16" s="65"/>
      <c r="BD16" s="65"/>
    </row>
    <row r="17" spans="3:56" ht="17.25" customHeight="1">
      <c r="C17" s="221">
        <v>1650</v>
      </c>
      <c r="D17" s="221">
        <v>1273</v>
      </c>
      <c r="E17" s="234"/>
      <c r="F17" s="234"/>
      <c r="G17" s="234"/>
      <c r="H17" s="234"/>
      <c r="I17" s="234"/>
      <c r="J17" s="234"/>
      <c r="K17" s="234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7"/>
      <c r="AT17" s="225"/>
      <c r="AU17" s="225"/>
      <c r="AV17" s="65"/>
      <c r="AW17" s="65"/>
      <c r="AX17" s="65"/>
      <c r="AY17" s="65"/>
      <c r="AZ17" s="65"/>
      <c r="BA17" s="65"/>
      <c r="BB17" s="65"/>
      <c r="BC17" s="65"/>
      <c r="BD17" s="65"/>
    </row>
    <row r="18" spans="3:56" ht="17.25" customHeight="1">
      <c r="C18" s="221">
        <v>1625</v>
      </c>
      <c r="D18" s="221">
        <v>1256</v>
      </c>
      <c r="E18" s="234"/>
      <c r="F18" s="234"/>
      <c r="G18" s="234"/>
      <c r="H18" s="234"/>
      <c r="I18" s="234"/>
      <c r="J18" s="23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7"/>
      <c r="AR18" s="57"/>
      <c r="AS18" s="57"/>
      <c r="AT18" s="225"/>
      <c r="AU18" s="225"/>
      <c r="AV18" s="65"/>
      <c r="AW18" s="65"/>
      <c r="AX18" s="65"/>
      <c r="AY18" s="65"/>
      <c r="AZ18" s="65"/>
      <c r="BA18" s="65"/>
      <c r="BB18" s="65"/>
      <c r="BC18" s="65"/>
      <c r="BD18" s="65"/>
    </row>
    <row r="19" spans="3:56" ht="17.25" customHeight="1">
      <c r="C19" s="221">
        <v>1600</v>
      </c>
      <c r="D19" s="221">
        <v>1236</v>
      </c>
      <c r="E19" s="234"/>
      <c r="F19" s="234"/>
      <c r="G19" s="234"/>
      <c r="H19" s="234"/>
      <c r="I19" s="228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7"/>
      <c r="AP19" s="57"/>
      <c r="AQ19" s="57"/>
      <c r="AR19" s="57"/>
      <c r="AS19" s="57"/>
      <c r="AT19" s="225"/>
      <c r="AU19" s="225"/>
      <c r="AV19" s="65"/>
      <c r="AW19" s="65"/>
      <c r="AX19" s="65"/>
      <c r="AY19" s="65"/>
      <c r="AZ19" s="65"/>
      <c r="BA19" s="65"/>
      <c r="BB19" s="65"/>
      <c r="BC19" s="65"/>
      <c r="BD19" s="65"/>
    </row>
    <row r="20" spans="3:56" ht="17.25" customHeight="1">
      <c r="C20" s="221">
        <v>1575</v>
      </c>
      <c r="D20" s="221">
        <v>1215</v>
      </c>
      <c r="E20" s="234"/>
      <c r="F20" s="234"/>
      <c r="G20" s="234"/>
      <c r="H20" s="57"/>
      <c r="I20" s="228">
        <f>IF(HLOOKUP($C$2,$AV$2:$BD$83,19,0)=0,"",HLOOKUP($C$2,$AV$2:$BD$83,19,0))</f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7"/>
      <c r="AN20" s="57"/>
      <c r="AO20" s="57"/>
      <c r="AP20" s="57"/>
      <c r="AQ20" s="57"/>
      <c r="AR20" s="57"/>
      <c r="AS20" s="57"/>
      <c r="AT20" s="225"/>
      <c r="AU20" s="225"/>
      <c r="AV20" s="65"/>
      <c r="AW20" s="65" t="s">
        <v>442</v>
      </c>
      <c r="AX20" s="65"/>
      <c r="AY20" s="65"/>
      <c r="AZ20" s="65"/>
      <c r="BA20" s="65"/>
      <c r="BB20" s="65"/>
      <c r="BC20" s="65"/>
      <c r="BD20" s="65"/>
    </row>
    <row r="21" spans="3:56" ht="17.25" customHeight="1">
      <c r="C21" s="221">
        <v>1550</v>
      </c>
      <c r="D21" s="221">
        <v>1199</v>
      </c>
      <c r="E21" s="234"/>
      <c r="F21" s="234"/>
      <c r="G21" s="234"/>
      <c r="H21" s="57"/>
      <c r="I21" s="228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7"/>
      <c r="AL21" s="57"/>
      <c r="AM21" s="57"/>
      <c r="AN21" s="57"/>
      <c r="AO21" s="57"/>
      <c r="AP21" s="57"/>
      <c r="AQ21" s="57"/>
      <c r="AR21" s="57"/>
      <c r="AS21" s="57"/>
      <c r="AT21" s="225"/>
      <c r="AU21" s="225"/>
      <c r="AV21" s="65"/>
      <c r="AW21" s="65"/>
      <c r="AX21" s="65"/>
      <c r="AY21" s="65"/>
      <c r="AZ21" s="65"/>
      <c r="BA21" s="65"/>
      <c r="BB21" s="65"/>
      <c r="BC21" s="65"/>
      <c r="BD21" s="65"/>
    </row>
    <row r="22" spans="3:56" ht="17.25" customHeight="1">
      <c r="C22" s="221">
        <v>1525</v>
      </c>
      <c r="D22" s="221">
        <v>1179</v>
      </c>
      <c r="E22" s="234"/>
      <c r="F22" s="234"/>
      <c r="G22" s="57"/>
      <c r="H22" s="57"/>
      <c r="I22" s="228" t="str">
        <f>IF(HLOOKUP($C$2,$AV$2:$BD$83,21,0)=0,"",HLOOKUP($C$2,$AV$2:$BD$83,21,0))</f>
        <v>１６～１８万円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225"/>
      <c r="AU22" s="225"/>
      <c r="AV22" s="65" t="s">
        <v>445</v>
      </c>
      <c r="AW22" s="65"/>
      <c r="AX22" s="65"/>
      <c r="AY22" s="65"/>
      <c r="AZ22" s="65"/>
      <c r="BA22" s="65"/>
      <c r="BB22" s="65"/>
      <c r="BC22" s="65"/>
      <c r="BD22" s="65"/>
    </row>
    <row r="23" spans="3:56" ht="17.25" customHeight="1">
      <c r="C23" s="221">
        <v>1500</v>
      </c>
      <c r="D23" s="221">
        <v>1159</v>
      </c>
      <c r="E23" s="234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225"/>
      <c r="AU23" s="225"/>
      <c r="AV23" s="65"/>
      <c r="AW23" s="65"/>
      <c r="AX23" s="65"/>
      <c r="AY23" s="65"/>
      <c r="AZ23" s="65"/>
      <c r="BA23" s="65"/>
      <c r="BB23" s="65"/>
      <c r="BC23" s="65"/>
      <c r="BD23" s="65"/>
    </row>
    <row r="24" spans="3:56" ht="17.25" customHeight="1">
      <c r="C24" s="221">
        <v>1475</v>
      </c>
      <c r="D24" s="221">
        <v>1142</v>
      </c>
      <c r="E24" s="234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225"/>
      <c r="AU24" s="225"/>
      <c r="AV24" s="65"/>
      <c r="AW24" s="65"/>
      <c r="AX24" s="65"/>
      <c r="AY24" s="65"/>
      <c r="AZ24" s="65"/>
      <c r="BA24" s="65"/>
      <c r="BB24" s="65"/>
      <c r="BC24" s="65"/>
      <c r="BD24" s="65"/>
    </row>
    <row r="25" spans="3:56" ht="17.25" customHeight="1">
      <c r="C25" s="221">
        <v>1450</v>
      </c>
      <c r="D25" s="221">
        <v>1122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225"/>
      <c r="AU25" s="225"/>
      <c r="AV25" s="65"/>
      <c r="AW25" s="65"/>
      <c r="AX25" s="65"/>
      <c r="AY25" s="65"/>
      <c r="AZ25" s="65"/>
      <c r="BA25" s="65"/>
      <c r="BB25" s="65"/>
      <c r="BC25" s="65"/>
      <c r="BD25" s="65"/>
    </row>
    <row r="26" spans="3:56" ht="17.25" customHeight="1">
      <c r="C26" s="221">
        <v>1425</v>
      </c>
      <c r="D26" s="221">
        <v>1102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225"/>
      <c r="AU26" s="225"/>
      <c r="AV26" s="65"/>
      <c r="AW26" s="65"/>
      <c r="AX26" s="65"/>
      <c r="AY26" s="65"/>
      <c r="AZ26" s="65"/>
      <c r="BA26" s="65"/>
      <c r="BB26" s="65"/>
      <c r="BC26" s="65"/>
      <c r="BD26" s="65"/>
    </row>
    <row r="27" spans="3:56" ht="17.25" customHeight="1">
      <c r="C27" s="221">
        <v>1400</v>
      </c>
      <c r="D27" s="221">
        <v>1086</v>
      </c>
      <c r="E27" s="57"/>
      <c r="F27" s="57"/>
      <c r="G27" s="57"/>
      <c r="H27" s="57"/>
      <c r="I27" s="57">
        <f>IF(HLOOKUP($C$2,$AV$2:$BD$83,26,0)=0,"",HLOOKUP($C$2,$AV$2:$BD$83,26,0))</f>
      </c>
      <c r="J27" s="57"/>
      <c r="K27" s="57"/>
      <c r="L27" s="57"/>
      <c r="M27" s="5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225"/>
      <c r="AU27" s="225"/>
      <c r="AV27" s="65"/>
      <c r="AW27" s="65" t="s">
        <v>444</v>
      </c>
      <c r="AX27" s="65"/>
      <c r="AY27" s="65"/>
      <c r="AZ27" s="65"/>
      <c r="BA27" s="65"/>
      <c r="BB27" s="65"/>
      <c r="BC27" s="65"/>
      <c r="BD27" s="65"/>
    </row>
    <row r="28" spans="3:56" ht="17.25" customHeight="1">
      <c r="C28" s="221">
        <v>1375</v>
      </c>
      <c r="D28" s="221">
        <v>1066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225"/>
      <c r="AU28" s="225"/>
      <c r="AV28" s="65"/>
      <c r="AW28" s="65"/>
      <c r="AX28" s="65"/>
      <c r="AY28" s="65"/>
      <c r="AZ28" s="65"/>
      <c r="BA28" s="65"/>
      <c r="BB28" s="65"/>
      <c r="BC28" s="65"/>
      <c r="BD28" s="65"/>
    </row>
    <row r="29" spans="3:56" ht="17.25" customHeight="1">
      <c r="C29" s="221">
        <v>1350</v>
      </c>
      <c r="D29" s="221">
        <v>1046</v>
      </c>
      <c r="E29" s="57"/>
      <c r="F29" s="57"/>
      <c r="G29" s="57"/>
      <c r="H29" s="57"/>
      <c r="I29" s="57" t="str">
        <f>IF(HLOOKUP($C$2,$AV$2:$BD$83,28,0)=0,"",HLOOKUP($C$2,$AV$2:$BD$83,28,0))</f>
        <v>１４～１６万円</v>
      </c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8"/>
      <c r="AS29" s="58"/>
      <c r="AT29" s="226"/>
      <c r="AU29" s="226"/>
      <c r="AV29" s="65" t="s">
        <v>446</v>
      </c>
      <c r="AW29" s="65"/>
      <c r="AX29" s="65"/>
      <c r="AY29" s="65"/>
      <c r="AZ29" s="65"/>
      <c r="BA29" s="65"/>
      <c r="BB29" s="65"/>
      <c r="BC29" s="65"/>
      <c r="BD29" s="65"/>
    </row>
    <row r="30" spans="3:56" ht="17.25" customHeight="1">
      <c r="C30" s="221">
        <v>1325</v>
      </c>
      <c r="D30" s="221">
        <v>1030</v>
      </c>
      <c r="E30" s="57"/>
      <c r="F30" s="57"/>
      <c r="G30" s="57"/>
      <c r="H30" s="57"/>
      <c r="I30" s="57"/>
      <c r="J30" s="57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58"/>
      <c r="AR30" s="58"/>
      <c r="AS30" s="58"/>
      <c r="AT30" s="226"/>
      <c r="AU30" s="226"/>
      <c r="AV30" s="65"/>
      <c r="AW30" s="65"/>
      <c r="AX30" s="65"/>
      <c r="AY30" s="65"/>
      <c r="AZ30" s="65"/>
      <c r="BA30" s="65"/>
      <c r="BB30" s="65"/>
      <c r="BC30" s="65"/>
      <c r="BD30" s="65"/>
    </row>
    <row r="31" spans="3:56" ht="17.25" customHeight="1">
      <c r="C31" s="221">
        <v>1300</v>
      </c>
      <c r="D31" s="221">
        <v>1009</v>
      </c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  <c r="AO31" s="58"/>
      <c r="AP31" s="58"/>
      <c r="AQ31" s="58"/>
      <c r="AR31" s="58"/>
      <c r="AS31" s="58"/>
      <c r="AT31" s="226"/>
      <c r="AU31" s="226"/>
      <c r="AV31" s="65"/>
      <c r="AW31" s="65"/>
      <c r="AX31" s="65"/>
      <c r="AY31" s="65"/>
      <c r="AZ31" s="65"/>
      <c r="BA31" s="65"/>
      <c r="BB31" s="65"/>
      <c r="BC31" s="65"/>
      <c r="BD31" s="65"/>
    </row>
    <row r="32" spans="3:56" ht="17.25" customHeight="1">
      <c r="C32" s="221">
        <v>1275</v>
      </c>
      <c r="D32" s="221">
        <v>985</v>
      </c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58"/>
      <c r="AN32" s="58"/>
      <c r="AO32" s="58"/>
      <c r="AP32" s="58"/>
      <c r="AQ32" s="58"/>
      <c r="AR32" s="58"/>
      <c r="AS32" s="58"/>
      <c r="AT32" s="226"/>
      <c r="AU32" s="226"/>
      <c r="AV32" s="65"/>
      <c r="AW32" s="65"/>
      <c r="AX32" s="65"/>
      <c r="AY32" s="65"/>
      <c r="AZ32" s="65"/>
      <c r="BA32" s="65"/>
      <c r="BB32" s="65"/>
      <c r="BC32" s="65"/>
      <c r="BD32" s="65"/>
    </row>
    <row r="33" spans="3:56" ht="17.25" customHeight="1">
      <c r="C33" s="221">
        <v>1250</v>
      </c>
      <c r="D33" s="221">
        <v>966</v>
      </c>
      <c r="E33" s="57"/>
      <c r="F33" s="57"/>
      <c r="G33" s="57"/>
      <c r="H33" s="57"/>
      <c r="I33" s="58">
        <f>IF(HLOOKUP($C$2,$AV$2:$BD$83,32,0)=0,"",HLOOKUP($C$2,$AV$2:$BD$83,32,0))</f>
      </c>
      <c r="J33" s="58"/>
      <c r="K33" s="58"/>
      <c r="L33" s="58"/>
      <c r="M33" s="58"/>
      <c r="N33" s="58"/>
      <c r="O33" s="58"/>
      <c r="P33" s="58"/>
      <c r="Q33" s="58"/>
      <c r="R33" s="58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226"/>
      <c r="AU33" s="226"/>
      <c r="AV33" s="65"/>
      <c r="AW33" s="65" t="s">
        <v>445</v>
      </c>
      <c r="AX33" s="65"/>
      <c r="AY33" s="65"/>
      <c r="AZ33" s="65"/>
      <c r="BA33" s="65"/>
      <c r="BB33" s="65"/>
      <c r="BC33" s="65"/>
      <c r="BD33" s="65"/>
    </row>
    <row r="34" spans="3:56" ht="17.25" customHeight="1">
      <c r="C34" s="221">
        <v>1225</v>
      </c>
      <c r="D34" s="221">
        <v>942</v>
      </c>
      <c r="E34" s="57"/>
      <c r="F34" s="57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226"/>
      <c r="AU34" s="226"/>
      <c r="AV34" s="65"/>
      <c r="AW34" s="65"/>
      <c r="AX34" s="65"/>
      <c r="AY34" s="65"/>
      <c r="AZ34" s="65"/>
      <c r="BA34" s="65"/>
      <c r="BB34" s="65"/>
      <c r="BC34" s="65"/>
      <c r="BD34" s="65"/>
    </row>
    <row r="35" spans="3:56" ht="17.25" customHeight="1">
      <c r="C35" s="221">
        <v>1200</v>
      </c>
      <c r="D35" s="221">
        <v>922</v>
      </c>
      <c r="E35" s="57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226"/>
      <c r="AU35" s="226"/>
      <c r="AV35" s="65"/>
      <c r="AW35" s="65"/>
      <c r="AX35" s="65"/>
      <c r="AY35" s="65"/>
      <c r="AZ35" s="65"/>
      <c r="BA35" s="65"/>
      <c r="BB35" s="65"/>
      <c r="BC35" s="65"/>
      <c r="BD35" s="65"/>
    </row>
    <row r="36" spans="3:56" ht="17.25" customHeight="1">
      <c r="C36" s="221">
        <v>1175</v>
      </c>
      <c r="D36" s="221">
        <v>898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226"/>
      <c r="AU36" s="226"/>
      <c r="AV36" s="65"/>
      <c r="AW36" s="65"/>
      <c r="AX36" s="65"/>
      <c r="AY36" s="65"/>
      <c r="AZ36" s="65"/>
      <c r="BA36" s="65"/>
      <c r="BB36" s="65"/>
      <c r="BC36" s="65"/>
      <c r="BD36" s="65"/>
    </row>
    <row r="37" spans="3:56" ht="17.25" customHeight="1">
      <c r="C37" s="221">
        <v>1150</v>
      </c>
      <c r="D37" s="221">
        <v>878</v>
      </c>
      <c r="E37" s="57"/>
      <c r="F37" s="58"/>
      <c r="G37" s="58"/>
      <c r="H37" s="58"/>
      <c r="I37" s="58" t="str">
        <f>IF(HLOOKUP($C$2,$AV$2:$BD$83,36,0)=0,"",HLOOKUP($C$2,$AV$2:$BD$83,36,0))</f>
        <v>１２～１４万円</v>
      </c>
      <c r="J37" s="58"/>
      <c r="K37" s="58"/>
      <c r="L37" s="58"/>
      <c r="M37" s="58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226"/>
      <c r="AU37" s="226"/>
      <c r="AV37" s="65" t="s">
        <v>447</v>
      </c>
      <c r="AW37" s="65"/>
      <c r="AX37" s="65"/>
      <c r="AY37" s="65"/>
      <c r="AZ37" s="65"/>
      <c r="BA37" s="65"/>
      <c r="BB37" s="65"/>
      <c r="BC37" s="65"/>
      <c r="BD37" s="65"/>
    </row>
    <row r="38" spans="3:56" ht="17.25" customHeight="1">
      <c r="C38" s="221">
        <v>1125</v>
      </c>
      <c r="D38" s="221">
        <v>861</v>
      </c>
      <c r="E38" s="58"/>
      <c r="F38" s="58"/>
      <c r="G38" s="58"/>
      <c r="H38" s="58"/>
      <c r="I38" s="58">
        <f>IF(HLOOKUP($C$2,$AV$2:$BD$83,37,0)=0,"",HLOOKUP($C$2,$AV$2:$BD$83,37,0))</f>
      </c>
      <c r="J38" s="58"/>
      <c r="K38" s="58"/>
      <c r="L38" s="58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226"/>
      <c r="AU38" s="226"/>
      <c r="AV38" s="65"/>
      <c r="AW38" s="65" t="s">
        <v>446</v>
      </c>
      <c r="AX38" s="65"/>
      <c r="AY38" s="65"/>
      <c r="AZ38" s="65"/>
      <c r="BA38" s="65"/>
      <c r="BB38" s="65"/>
      <c r="BC38" s="65"/>
      <c r="BD38" s="65"/>
    </row>
    <row r="39" spans="3:56" ht="17.25" customHeight="1">
      <c r="C39" s="221">
        <v>1100</v>
      </c>
      <c r="D39" s="221">
        <v>840</v>
      </c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226"/>
      <c r="AU39" s="226"/>
      <c r="AV39" s="65"/>
      <c r="AW39" s="65"/>
      <c r="AX39" s="65"/>
      <c r="AY39" s="65"/>
      <c r="AZ39" s="65"/>
      <c r="BA39" s="65"/>
      <c r="BB39" s="65"/>
      <c r="BC39" s="65"/>
      <c r="BD39" s="65"/>
    </row>
    <row r="40" spans="3:56" ht="17.25" customHeight="1">
      <c r="C40" s="221">
        <v>1075</v>
      </c>
      <c r="D40" s="221">
        <v>823</v>
      </c>
      <c r="E40" s="58"/>
      <c r="F40" s="58"/>
      <c r="G40" s="58"/>
      <c r="H40" s="58"/>
      <c r="I40" s="58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7"/>
      <c r="AR40" s="57"/>
      <c r="AS40" s="57"/>
      <c r="AT40" s="225"/>
      <c r="AU40" s="225"/>
      <c r="AV40" s="65"/>
      <c r="AW40" s="65"/>
      <c r="AX40" s="65"/>
      <c r="AY40" s="65"/>
      <c r="AZ40" s="65"/>
      <c r="BA40" s="65"/>
      <c r="BB40" s="65"/>
      <c r="BC40" s="65"/>
      <c r="BD40" s="65"/>
    </row>
    <row r="41" spans="3:56" ht="17.25" customHeight="1">
      <c r="C41" s="221">
        <v>1050</v>
      </c>
      <c r="D41" s="221">
        <v>802</v>
      </c>
      <c r="E41" s="58"/>
      <c r="F41" s="58"/>
      <c r="G41" s="58"/>
      <c r="H41" s="5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225"/>
      <c r="AU41" s="225"/>
      <c r="AV41" s="65"/>
      <c r="AW41" s="65"/>
      <c r="AX41" s="65"/>
      <c r="AY41" s="65"/>
      <c r="AZ41" s="65"/>
      <c r="BA41" s="65"/>
      <c r="BB41" s="65"/>
      <c r="BC41" s="65"/>
      <c r="BD41" s="65"/>
    </row>
    <row r="42" spans="3:56" ht="17.25" customHeight="1">
      <c r="C42" s="221">
        <v>1025</v>
      </c>
      <c r="D42" s="221">
        <v>784</v>
      </c>
      <c r="E42" s="58"/>
      <c r="F42" s="58"/>
      <c r="G42" s="5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7"/>
      <c r="AL42" s="57"/>
      <c r="AM42" s="57"/>
      <c r="AN42" s="57"/>
      <c r="AO42" s="57"/>
      <c r="AP42" s="57"/>
      <c r="AQ42" s="57"/>
      <c r="AR42" s="57"/>
      <c r="AS42" s="57"/>
      <c r="AT42" s="225"/>
      <c r="AU42" s="225"/>
      <c r="AV42" s="65"/>
      <c r="AW42" s="65"/>
      <c r="AX42" s="65"/>
      <c r="AY42" s="65"/>
      <c r="AZ42" s="65"/>
      <c r="BA42" s="65"/>
      <c r="BB42" s="65"/>
      <c r="BC42" s="65"/>
      <c r="BD42" s="65"/>
    </row>
    <row r="43" spans="3:56" ht="17.25" customHeight="1">
      <c r="C43" s="221">
        <v>1000</v>
      </c>
      <c r="D43" s="221">
        <v>763</v>
      </c>
      <c r="E43" s="58"/>
      <c r="F43" s="58"/>
      <c r="G43" s="57"/>
      <c r="H43" s="57"/>
      <c r="I43" s="57" t="str">
        <f>IF(HLOOKUP($C$2,$AV$2:$BD$83,42,0)=0,"",HLOOKUP($C$2,$AV$2:$BD$83,42,0))</f>
        <v>１０～１２万円</v>
      </c>
      <c r="J43" s="57"/>
      <c r="K43" s="57"/>
      <c r="L43" s="57"/>
      <c r="M43" s="57"/>
      <c r="N43" s="57"/>
      <c r="O43" s="57"/>
      <c r="P43" s="57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225"/>
      <c r="AU43" s="225"/>
      <c r="AV43" s="65" t="s">
        <v>448</v>
      </c>
      <c r="AW43" s="65"/>
      <c r="AX43" s="65"/>
      <c r="AY43" s="65"/>
      <c r="AZ43" s="65"/>
      <c r="BA43" s="65"/>
      <c r="BB43" s="65"/>
      <c r="BC43" s="65"/>
      <c r="BD43" s="65"/>
    </row>
    <row r="44" spans="3:56" ht="17.25" customHeight="1">
      <c r="C44" s="221">
        <v>975</v>
      </c>
      <c r="D44" s="221">
        <v>741</v>
      </c>
      <c r="E44" s="58"/>
      <c r="F44" s="57"/>
      <c r="G44" s="57"/>
      <c r="H44" s="57"/>
      <c r="I44" s="57">
        <f>IF(HLOOKUP($C$2,$AV$2:$BD$83,43,0)=0,"",HLOOKUP($C$2,$AV$2:$BD$83,43,0))</f>
      </c>
      <c r="J44" s="57"/>
      <c r="K44" s="57"/>
      <c r="L44" s="57"/>
      <c r="M44" s="57"/>
      <c r="N44" s="5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225"/>
      <c r="AU44" s="225"/>
      <c r="AV44" s="65"/>
      <c r="AW44" s="65" t="s">
        <v>447</v>
      </c>
      <c r="AX44" s="65"/>
      <c r="AY44" s="65"/>
      <c r="AZ44" s="65"/>
      <c r="BA44" s="65"/>
      <c r="BB44" s="65"/>
      <c r="BC44" s="65"/>
      <c r="BD44" s="65"/>
    </row>
    <row r="45" spans="3:56" ht="17.25" customHeight="1">
      <c r="C45" s="221">
        <v>950</v>
      </c>
      <c r="D45" s="221">
        <v>721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225"/>
      <c r="AU45" s="225"/>
      <c r="AV45" s="65"/>
      <c r="AW45" s="65"/>
      <c r="AX45" s="65"/>
      <c r="AY45" s="65"/>
      <c r="AZ45" s="65"/>
      <c r="BA45" s="65"/>
      <c r="BB45" s="65"/>
      <c r="BC45" s="65"/>
      <c r="BD45" s="65"/>
    </row>
    <row r="46" spans="3:56" ht="17.25" customHeight="1">
      <c r="C46" s="221">
        <v>925</v>
      </c>
      <c r="D46" s="221">
        <v>699</v>
      </c>
      <c r="E46" s="57"/>
      <c r="F46" s="57"/>
      <c r="G46" s="57"/>
      <c r="H46" s="57"/>
      <c r="I46" s="57"/>
      <c r="J46" s="57"/>
      <c r="K46" s="57"/>
      <c r="L46" s="57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225"/>
      <c r="AU46" s="225"/>
      <c r="AV46" s="65"/>
      <c r="AW46" s="65"/>
      <c r="AX46" s="65"/>
      <c r="AY46" s="65"/>
      <c r="AZ46" s="65"/>
      <c r="BA46" s="65"/>
      <c r="BB46" s="65"/>
      <c r="BC46" s="65"/>
      <c r="BD46" s="65"/>
    </row>
    <row r="47" spans="3:56" ht="17.25" customHeight="1">
      <c r="C47" s="221">
        <v>900</v>
      </c>
      <c r="D47" s="221">
        <v>681</v>
      </c>
      <c r="E47" s="57"/>
      <c r="F47" s="57"/>
      <c r="G47" s="57"/>
      <c r="H47" s="57"/>
      <c r="I47" s="57"/>
      <c r="J47" s="5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225"/>
      <c r="AU47" s="225"/>
      <c r="AV47" s="65"/>
      <c r="AW47" s="65"/>
      <c r="AX47" s="65"/>
      <c r="AY47" s="65"/>
      <c r="AZ47" s="65"/>
      <c r="BA47" s="65"/>
      <c r="BB47" s="65"/>
      <c r="BC47" s="65"/>
      <c r="BD47" s="65"/>
    </row>
    <row r="48" spans="3:56" ht="17.25" customHeight="1">
      <c r="C48" s="221">
        <v>875</v>
      </c>
      <c r="D48" s="221">
        <v>662</v>
      </c>
      <c r="E48" s="57"/>
      <c r="F48" s="57"/>
      <c r="G48" s="57"/>
      <c r="H48" s="57"/>
      <c r="I48" s="5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225"/>
      <c r="AU48" s="225"/>
      <c r="AV48" s="65"/>
      <c r="AW48" s="65"/>
      <c r="AX48" s="65"/>
      <c r="AY48" s="65"/>
      <c r="AZ48" s="65"/>
      <c r="BA48" s="65"/>
      <c r="BB48" s="65"/>
      <c r="BC48" s="65"/>
      <c r="BD48" s="65"/>
    </row>
    <row r="49" spans="3:56" ht="17.25" customHeight="1">
      <c r="C49" s="221">
        <v>850</v>
      </c>
      <c r="D49" s="221">
        <v>641</v>
      </c>
      <c r="E49" s="57"/>
      <c r="F49" s="57"/>
      <c r="G49" s="57"/>
      <c r="H49" s="57"/>
      <c r="I49" s="58">
        <f>IF(HLOOKUP($C$2,$AV$2:$BD$83,48,0)=0,"",HLOOKUP($C$2,$AV$2:$BD$83,48,0))</f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225"/>
      <c r="AU49" s="225"/>
      <c r="AV49" s="65"/>
      <c r="AW49" s="65" t="s">
        <v>448</v>
      </c>
      <c r="AX49" s="65"/>
      <c r="AY49" s="65"/>
      <c r="AZ49" s="65"/>
      <c r="BA49" s="65"/>
      <c r="BB49" s="65"/>
      <c r="BC49" s="65"/>
      <c r="BD49" s="65"/>
    </row>
    <row r="50" spans="3:56" ht="17.25" customHeight="1">
      <c r="C50" s="221">
        <v>825</v>
      </c>
      <c r="D50" s="221">
        <v>622</v>
      </c>
      <c r="E50" s="57"/>
      <c r="F50" s="57"/>
      <c r="G50" s="57"/>
      <c r="H50" s="58"/>
      <c r="I50" s="58" t="str">
        <f>IF(HLOOKUP($C$2,$AV$2:$BD$83,49,0)=0,"",HLOOKUP($C$2,$AV$2:$BD$83,49,0))</f>
        <v>８～１０万円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225"/>
      <c r="AU50" s="225"/>
      <c r="AV50" s="65" t="s">
        <v>449</v>
      </c>
      <c r="AW50" s="65"/>
      <c r="AX50" s="65"/>
      <c r="AY50" s="65"/>
      <c r="AZ50" s="65"/>
      <c r="BA50" s="65"/>
      <c r="BB50" s="65"/>
      <c r="BC50" s="65"/>
      <c r="BD50" s="65"/>
    </row>
    <row r="51" spans="3:56" ht="17.25" customHeight="1">
      <c r="C51" s="221">
        <v>800</v>
      </c>
      <c r="D51" s="221">
        <v>601</v>
      </c>
      <c r="E51" s="57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225"/>
      <c r="AU51" s="225"/>
      <c r="AV51" s="65"/>
      <c r="AW51" s="65"/>
      <c r="AX51" s="65"/>
      <c r="AY51" s="65"/>
      <c r="AZ51" s="65"/>
      <c r="BA51" s="65"/>
      <c r="BB51" s="65"/>
      <c r="BC51" s="65"/>
      <c r="BD51" s="65"/>
    </row>
    <row r="52" spans="3:56" ht="17.25" customHeight="1">
      <c r="C52" s="221">
        <v>775</v>
      </c>
      <c r="D52" s="221">
        <v>582</v>
      </c>
      <c r="E52" s="57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225"/>
      <c r="AU52" s="225"/>
      <c r="AV52" s="65"/>
      <c r="AW52" s="65"/>
      <c r="AX52" s="65"/>
      <c r="AY52" s="65"/>
      <c r="AZ52" s="65"/>
      <c r="BA52" s="65"/>
      <c r="BB52" s="65"/>
      <c r="BC52" s="65"/>
      <c r="BD52" s="65"/>
    </row>
    <row r="53" spans="3:56" ht="17.25" customHeight="1">
      <c r="C53" s="221">
        <v>750</v>
      </c>
      <c r="D53" s="221">
        <v>563</v>
      </c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225"/>
      <c r="AU53" s="225"/>
      <c r="AV53" s="65"/>
      <c r="AW53" s="65"/>
      <c r="AX53" s="65"/>
      <c r="AY53" s="65"/>
      <c r="AZ53" s="65"/>
      <c r="BA53" s="65"/>
      <c r="BB53" s="65"/>
      <c r="BC53" s="65"/>
      <c r="BD53" s="65"/>
    </row>
    <row r="54" spans="3:56" ht="17.25" customHeight="1">
      <c r="C54" s="221">
        <v>725</v>
      </c>
      <c r="D54" s="221">
        <v>548</v>
      </c>
      <c r="E54" s="58"/>
      <c r="F54" s="58"/>
      <c r="G54" s="58"/>
      <c r="H54" s="58"/>
      <c r="I54" s="58"/>
      <c r="J54" s="58"/>
      <c r="K54" s="58"/>
      <c r="L54" s="58"/>
      <c r="M54" s="58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226"/>
      <c r="AU54" s="226"/>
      <c r="AV54" s="65"/>
      <c r="AW54" s="65"/>
      <c r="AX54" s="65"/>
      <c r="AY54" s="65"/>
      <c r="AZ54" s="65"/>
      <c r="BA54" s="65"/>
      <c r="BB54" s="65"/>
      <c r="BC54" s="65"/>
      <c r="BD54" s="65"/>
    </row>
    <row r="55" spans="3:56" ht="17.25" customHeight="1">
      <c r="C55" s="221">
        <v>700</v>
      </c>
      <c r="D55" s="221">
        <v>527</v>
      </c>
      <c r="E55" s="58"/>
      <c r="F55" s="58"/>
      <c r="G55" s="58"/>
      <c r="H55" s="58"/>
      <c r="I55" s="58">
        <f>IF(HLOOKUP($C$2,$AV$2:$BD$83,54,0)=0,"",HLOOKUP($C$2,$AV$2:$BD$83,54,0))</f>
      </c>
      <c r="J55" s="58"/>
      <c r="K55" s="58"/>
      <c r="L55" s="58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226"/>
      <c r="AU55" s="226"/>
      <c r="AV55" s="65"/>
      <c r="AW55" s="65" t="s">
        <v>449</v>
      </c>
      <c r="AX55" s="65"/>
      <c r="AY55" s="65"/>
      <c r="AZ55" s="65"/>
      <c r="BA55" s="65"/>
      <c r="BB55" s="65"/>
      <c r="BC55" s="65"/>
      <c r="BD55" s="65"/>
    </row>
    <row r="56" spans="3:56" ht="17.25" customHeight="1">
      <c r="C56" s="221">
        <v>675</v>
      </c>
      <c r="D56" s="221">
        <v>512</v>
      </c>
      <c r="E56" s="58"/>
      <c r="F56" s="58"/>
      <c r="G56" s="58"/>
      <c r="H56" s="58"/>
      <c r="I56" s="58"/>
      <c r="J56" s="58"/>
      <c r="K56" s="5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226"/>
      <c r="AU56" s="226"/>
      <c r="AV56" s="65"/>
      <c r="AW56" s="65"/>
      <c r="AX56" s="65"/>
      <c r="AY56" s="65"/>
      <c r="AZ56" s="65"/>
      <c r="BA56" s="65"/>
      <c r="BB56" s="65"/>
      <c r="BC56" s="65"/>
      <c r="BD56" s="65"/>
    </row>
    <row r="57" spans="3:56" ht="17.25" customHeight="1">
      <c r="C57" s="221">
        <v>650</v>
      </c>
      <c r="D57" s="221">
        <v>496</v>
      </c>
      <c r="E57" s="58"/>
      <c r="F57" s="58"/>
      <c r="G57" s="58"/>
      <c r="H57" s="58"/>
      <c r="I57" s="58" t="str">
        <f>IF(HLOOKUP($C$2,$AV$2:$BD$83,56,0)=0,"",HLOOKUP($C$2,$AV$2:$BD$83,56,0))</f>
        <v>６～８万円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226"/>
      <c r="AU57" s="226"/>
      <c r="AV57" s="65" t="s">
        <v>450</v>
      </c>
      <c r="AW57" s="65"/>
      <c r="AX57" s="65"/>
      <c r="AY57" s="65"/>
      <c r="AZ57" s="65"/>
      <c r="BA57" s="65"/>
      <c r="BB57" s="65"/>
      <c r="BC57" s="65"/>
      <c r="BD57" s="65"/>
    </row>
    <row r="58" spans="3:56" ht="17.25" customHeight="1">
      <c r="C58" s="221">
        <v>625</v>
      </c>
      <c r="D58" s="221">
        <v>471</v>
      </c>
      <c r="E58" s="58"/>
      <c r="F58" s="58"/>
      <c r="G58" s="58"/>
      <c r="H58" s="58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226"/>
      <c r="AU58" s="226"/>
      <c r="AV58" s="65"/>
      <c r="AW58" s="65"/>
      <c r="AX58" s="65"/>
      <c r="AY58" s="65"/>
      <c r="AZ58" s="65"/>
      <c r="BA58" s="65"/>
      <c r="BB58" s="65"/>
      <c r="BC58" s="65"/>
      <c r="BD58" s="65"/>
    </row>
    <row r="59" spans="3:56" ht="17.25" customHeight="1">
      <c r="C59" s="221">
        <v>600</v>
      </c>
      <c r="D59" s="221">
        <v>453</v>
      </c>
      <c r="E59" s="58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226"/>
      <c r="AU59" s="226"/>
      <c r="AV59" s="65"/>
      <c r="AW59" s="65"/>
      <c r="AX59" s="65"/>
      <c r="AY59" s="65"/>
      <c r="AZ59" s="65"/>
      <c r="BA59" s="65"/>
      <c r="BB59" s="65"/>
      <c r="BC59" s="65"/>
      <c r="BD59" s="65"/>
    </row>
    <row r="60" spans="3:56" ht="17.25" customHeight="1">
      <c r="C60" s="221">
        <v>575</v>
      </c>
      <c r="D60" s="221">
        <v>435</v>
      </c>
      <c r="E60" s="58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226"/>
      <c r="AU60" s="226"/>
      <c r="AV60" s="65"/>
      <c r="AW60" s="65"/>
      <c r="AX60" s="65"/>
      <c r="AY60" s="65"/>
      <c r="AZ60" s="65"/>
      <c r="BA60" s="65"/>
      <c r="BB60" s="65"/>
      <c r="BC60" s="65"/>
      <c r="BD60" s="65"/>
    </row>
    <row r="61" spans="3:56" ht="17.25" customHeight="1">
      <c r="C61" s="221">
        <v>550</v>
      </c>
      <c r="D61" s="221">
        <v>410</v>
      </c>
      <c r="E61" s="58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226"/>
      <c r="AU61" s="226"/>
      <c r="AV61" s="65"/>
      <c r="AW61" s="65"/>
      <c r="AX61" s="65"/>
      <c r="AY61" s="65"/>
      <c r="AZ61" s="65"/>
      <c r="BA61" s="65"/>
      <c r="BB61" s="65"/>
      <c r="BC61" s="65"/>
      <c r="BD61" s="65"/>
    </row>
    <row r="62" spans="3:56" ht="17.25" customHeight="1">
      <c r="C62" s="221">
        <v>525</v>
      </c>
      <c r="D62" s="221">
        <v>392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226"/>
      <c r="AU62" s="226"/>
      <c r="AV62" s="65"/>
      <c r="AW62" s="65"/>
      <c r="AX62" s="65"/>
      <c r="AY62" s="65"/>
      <c r="AZ62" s="65"/>
      <c r="BA62" s="65"/>
      <c r="BB62" s="65"/>
      <c r="BC62" s="65"/>
      <c r="BD62" s="65"/>
    </row>
    <row r="63" spans="3:56" ht="17.25" customHeight="1">
      <c r="C63" s="221">
        <v>500</v>
      </c>
      <c r="D63" s="221">
        <v>373</v>
      </c>
      <c r="E63" s="57"/>
      <c r="F63" s="57"/>
      <c r="G63" s="57"/>
      <c r="H63" s="57"/>
      <c r="I63" s="57"/>
      <c r="J63" s="57"/>
      <c r="K63" s="57"/>
      <c r="L63" s="57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226"/>
      <c r="AU63" s="226"/>
      <c r="AV63" s="65"/>
      <c r="AW63" s="65"/>
      <c r="AX63" s="65"/>
      <c r="AY63" s="65"/>
      <c r="AZ63" s="65"/>
      <c r="BA63" s="65"/>
      <c r="BB63" s="65"/>
      <c r="BC63" s="65"/>
      <c r="BD63" s="65"/>
    </row>
    <row r="64" spans="3:56" ht="17.25" customHeight="1">
      <c r="C64" s="221">
        <v>475</v>
      </c>
      <c r="D64" s="221">
        <v>349</v>
      </c>
      <c r="E64" s="57"/>
      <c r="F64" s="57"/>
      <c r="G64" s="57"/>
      <c r="H64" s="57"/>
      <c r="I64" s="57" t="str">
        <f>IF(HLOOKUP($C$2,$AV$2:$BD$83,63,0)=0,"",HLOOKUP($C$2,$AV$2:$BD$83,63,0))</f>
        <v>４～６万円</v>
      </c>
      <c r="J64" s="57"/>
      <c r="K64" s="57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226"/>
      <c r="AU64" s="226"/>
      <c r="AV64" s="65" t="s">
        <v>451</v>
      </c>
      <c r="AW64" s="65"/>
      <c r="AX64" s="65"/>
      <c r="AY64" s="65"/>
      <c r="AZ64" s="65"/>
      <c r="BA64" s="65"/>
      <c r="BB64" s="65"/>
      <c r="BC64" s="65"/>
      <c r="BD64" s="65"/>
    </row>
    <row r="65" spans="3:56" ht="17.25" customHeight="1">
      <c r="C65" s="221">
        <v>450</v>
      </c>
      <c r="D65" s="221">
        <v>331</v>
      </c>
      <c r="E65" s="57"/>
      <c r="F65" s="57"/>
      <c r="G65" s="57"/>
      <c r="H65" s="57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226"/>
      <c r="AU65" s="226"/>
      <c r="AV65" s="65"/>
      <c r="AW65" s="65"/>
      <c r="AX65" s="65"/>
      <c r="AY65" s="65"/>
      <c r="AZ65" s="65"/>
      <c r="BA65" s="65"/>
      <c r="BB65" s="65"/>
      <c r="BC65" s="65"/>
      <c r="BD65" s="65"/>
    </row>
    <row r="66" spans="3:56" ht="17.25" customHeight="1">
      <c r="C66" s="221">
        <v>425</v>
      </c>
      <c r="D66" s="221">
        <v>312</v>
      </c>
      <c r="E66" s="57"/>
      <c r="F66" s="57"/>
      <c r="G66" s="57"/>
      <c r="H66" s="57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226"/>
      <c r="AU66" s="226"/>
      <c r="AV66" s="65"/>
      <c r="AW66" s="65"/>
      <c r="AX66" s="65"/>
      <c r="AY66" s="65"/>
      <c r="AZ66" s="65"/>
      <c r="BA66" s="65"/>
      <c r="BB66" s="65"/>
      <c r="BC66" s="65"/>
      <c r="BD66" s="65"/>
    </row>
    <row r="67" spans="3:56" ht="17.25" customHeight="1">
      <c r="C67" s="221">
        <v>400</v>
      </c>
      <c r="D67" s="221">
        <v>294</v>
      </c>
      <c r="E67" s="57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226"/>
      <c r="AU67" s="226"/>
      <c r="AV67" s="65"/>
      <c r="AW67" s="65"/>
      <c r="AX67" s="65"/>
      <c r="AY67" s="65"/>
      <c r="AZ67" s="65"/>
      <c r="BA67" s="65"/>
      <c r="BB67" s="65"/>
      <c r="BC67" s="65"/>
      <c r="BD67" s="65"/>
    </row>
    <row r="68" spans="3:56" ht="17.25" customHeight="1">
      <c r="C68" s="221">
        <v>375</v>
      </c>
      <c r="D68" s="221">
        <v>275</v>
      </c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226"/>
      <c r="AU68" s="226"/>
      <c r="AV68" s="65"/>
      <c r="AW68" s="65"/>
      <c r="AX68" s="65"/>
      <c r="AY68" s="65"/>
      <c r="AZ68" s="65"/>
      <c r="BA68" s="65"/>
      <c r="BB68" s="65"/>
      <c r="BC68" s="65"/>
      <c r="BD68" s="65"/>
    </row>
    <row r="69" spans="3:56" ht="17.25" customHeight="1">
      <c r="C69" s="221">
        <v>350</v>
      </c>
      <c r="D69" s="221">
        <v>256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225"/>
      <c r="AU69" s="225"/>
      <c r="AV69" s="65"/>
      <c r="AW69" s="65"/>
      <c r="AX69" s="65"/>
      <c r="AY69" s="65"/>
      <c r="AZ69" s="65"/>
      <c r="BA69" s="65"/>
      <c r="BB69" s="65"/>
      <c r="BC69" s="65"/>
      <c r="BD69" s="65"/>
    </row>
    <row r="70" spans="3:56" ht="17.25" customHeight="1">
      <c r="C70" s="221">
        <v>325</v>
      </c>
      <c r="D70" s="221">
        <v>237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225"/>
      <c r="AU70" s="225"/>
      <c r="AV70" s="65"/>
      <c r="AW70" s="65"/>
      <c r="AX70" s="65"/>
      <c r="AY70" s="65"/>
      <c r="AZ70" s="65"/>
      <c r="BA70" s="65"/>
      <c r="BB70" s="65"/>
      <c r="BC70" s="65"/>
      <c r="BD70" s="65"/>
    </row>
    <row r="71" spans="3:56" ht="17.25" customHeight="1">
      <c r="C71" s="221">
        <v>300</v>
      </c>
      <c r="D71" s="221">
        <v>218</v>
      </c>
      <c r="E71" s="58"/>
      <c r="F71" s="58"/>
      <c r="G71" s="58"/>
      <c r="H71" s="58"/>
      <c r="I71" s="58" t="str">
        <f>IF(HLOOKUP($C$2,$AV$2:$BD$83,70,0)=0,"",HLOOKUP($C$2,$AV$2:$BD$83,70,0))</f>
        <v>２～４万円</v>
      </c>
      <c r="J71" s="58"/>
      <c r="K71" s="58"/>
      <c r="L71" s="58"/>
      <c r="M71" s="58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225"/>
      <c r="AU71" s="225"/>
      <c r="AV71" s="65" t="s">
        <v>452</v>
      </c>
      <c r="AW71" s="65"/>
      <c r="AX71" s="65"/>
      <c r="AY71" s="65"/>
      <c r="AZ71" s="65"/>
      <c r="BA71" s="65"/>
      <c r="BB71" s="65"/>
      <c r="BC71" s="65"/>
      <c r="BD71" s="65"/>
    </row>
    <row r="72" spans="3:56" ht="17.25" customHeight="1">
      <c r="C72" s="221">
        <v>275</v>
      </c>
      <c r="D72" s="221">
        <v>203</v>
      </c>
      <c r="E72" s="58"/>
      <c r="F72" s="58"/>
      <c r="G72" s="58"/>
      <c r="H72" s="58"/>
      <c r="I72" s="58"/>
      <c r="J72" s="58"/>
      <c r="K72" s="58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225"/>
      <c r="AU72" s="225"/>
      <c r="AV72" s="65"/>
      <c r="AW72" s="65"/>
      <c r="AX72" s="65"/>
      <c r="AY72" s="65"/>
      <c r="AZ72" s="65"/>
      <c r="BA72" s="65"/>
      <c r="BB72" s="65"/>
      <c r="BC72" s="65"/>
      <c r="BD72" s="65"/>
    </row>
    <row r="73" spans="3:56" ht="17.25" customHeight="1">
      <c r="C73" s="221">
        <v>250</v>
      </c>
      <c r="D73" s="221">
        <v>185</v>
      </c>
      <c r="E73" s="58"/>
      <c r="F73" s="58"/>
      <c r="G73" s="58"/>
      <c r="H73" s="58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225"/>
      <c r="AU73" s="225"/>
      <c r="AV73" s="65"/>
      <c r="AW73" s="65"/>
      <c r="AX73" s="65"/>
      <c r="AY73" s="65"/>
      <c r="AZ73" s="65"/>
      <c r="BA73" s="65"/>
      <c r="BB73" s="65"/>
      <c r="BC73" s="65"/>
      <c r="BD73" s="65"/>
    </row>
    <row r="74" spans="3:56" ht="17.25" customHeight="1">
      <c r="C74" s="221">
        <v>225</v>
      </c>
      <c r="D74" s="221">
        <v>165</v>
      </c>
      <c r="E74" s="58"/>
      <c r="F74" s="58"/>
      <c r="G74" s="58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225"/>
      <c r="AU74" s="225"/>
      <c r="AV74" s="65"/>
      <c r="AW74" s="65"/>
      <c r="AX74" s="65"/>
      <c r="AY74" s="65"/>
      <c r="AZ74" s="65"/>
      <c r="BA74" s="65"/>
      <c r="BB74" s="65"/>
      <c r="BC74" s="65"/>
      <c r="BD74" s="65"/>
    </row>
    <row r="75" spans="3:56" ht="17.25" customHeight="1">
      <c r="C75" s="221">
        <v>200</v>
      </c>
      <c r="D75" s="221">
        <v>148</v>
      </c>
      <c r="E75" s="58"/>
      <c r="F75" s="5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225"/>
      <c r="AU75" s="225"/>
      <c r="AV75" s="65"/>
      <c r="AW75" s="65"/>
      <c r="AX75" s="65"/>
      <c r="AY75" s="65"/>
      <c r="AZ75" s="65"/>
      <c r="BA75" s="65"/>
      <c r="BB75" s="65"/>
      <c r="BC75" s="65"/>
      <c r="BD75" s="65"/>
    </row>
    <row r="76" spans="3:56" ht="17.25" customHeight="1">
      <c r="C76" s="221">
        <v>175</v>
      </c>
      <c r="D76" s="221">
        <v>131</v>
      </c>
      <c r="E76" s="58"/>
      <c r="F76" s="57"/>
      <c r="G76" s="57"/>
      <c r="H76" s="57"/>
      <c r="I76" s="57" t="str">
        <f>IF(HLOOKUP($C$2,$AV$2:$BD$83,75,0)=0,"",HLOOKUP($C$2,$AV$2:$BD$83,75,0))</f>
        <v>１～２万円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225"/>
      <c r="AU76" s="225"/>
      <c r="AV76" s="65" t="s">
        <v>453</v>
      </c>
      <c r="AW76" s="65"/>
      <c r="AX76" s="65"/>
      <c r="AY76" s="65"/>
      <c r="AZ76" s="65"/>
      <c r="BA76" s="65"/>
      <c r="BB76" s="65"/>
      <c r="BC76" s="65"/>
      <c r="BD76" s="65"/>
    </row>
    <row r="77" spans="3:56" ht="17.25" customHeight="1">
      <c r="C77" s="221">
        <v>150</v>
      </c>
      <c r="D77" s="221">
        <v>113</v>
      </c>
      <c r="E77" s="57"/>
      <c r="F77" s="57"/>
      <c r="G77" s="57"/>
      <c r="H77" s="57"/>
      <c r="I77" s="57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226"/>
      <c r="AU77" s="226"/>
      <c r="AV77" s="65"/>
      <c r="AW77" s="65"/>
      <c r="AX77" s="65"/>
      <c r="AY77" s="65"/>
      <c r="AZ77" s="65"/>
      <c r="BA77" s="65"/>
      <c r="BB77" s="65"/>
      <c r="BC77" s="65"/>
      <c r="BD77" s="65"/>
    </row>
    <row r="78" spans="3:56" ht="17.25" customHeight="1">
      <c r="C78" s="221">
        <v>125</v>
      </c>
      <c r="D78" s="221">
        <v>98</v>
      </c>
      <c r="E78" s="57"/>
      <c r="F78" s="57"/>
      <c r="G78" s="57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226"/>
      <c r="AU78" s="226"/>
      <c r="AV78" s="65"/>
      <c r="AW78" s="65"/>
      <c r="AX78" s="65"/>
      <c r="AY78" s="65"/>
      <c r="AZ78" s="65"/>
      <c r="BA78" s="65"/>
      <c r="BB78" s="65"/>
      <c r="BC78" s="65"/>
      <c r="BD78" s="65"/>
    </row>
    <row r="79" spans="3:56" ht="17.25" customHeight="1">
      <c r="C79" s="221">
        <v>100</v>
      </c>
      <c r="D79" s="221">
        <v>82</v>
      </c>
      <c r="E79" s="5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226"/>
      <c r="AU79" s="226"/>
      <c r="AV79" s="65"/>
      <c r="AW79" s="65"/>
      <c r="AX79" s="65"/>
      <c r="AY79" s="65"/>
      <c r="AZ79" s="65"/>
      <c r="BA79" s="65"/>
      <c r="BB79" s="65"/>
      <c r="BC79" s="65"/>
      <c r="BD79" s="65"/>
    </row>
    <row r="80" spans="3:56" ht="17.25" customHeight="1">
      <c r="C80" s="221">
        <v>75</v>
      </c>
      <c r="D80" s="221">
        <v>66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226"/>
      <c r="AU80" s="226"/>
      <c r="AV80" s="65"/>
      <c r="AW80" s="65"/>
      <c r="AX80" s="65"/>
      <c r="AY80" s="65"/>
      <c r="AZ80" s="65"/>
      <c r="BA80" s="65"/>
      <c r="BB80" s="65"/>
      <c r="BC80" s="65"/>
      <c r="BD80" s="65"/>
    </row>
    <row r="81" spans="3:56" ht="17.25" customHeight="1">
      <c r="C81" s="221">
        <v>50</v>
      </c>
      <c r="D81" s="221">
        <v>44</v>
      </c>
      <c r="E81" s="58"/>
      <c r="F81" s="58"/>
      <c r="G81" s="58"/>
      <c r="H81" s="58"/>
      <c r="I81" s="58" t="str">
        <f>IF(HLOOKUP($C$2,$AV$2:$BD$83,80,0)=0,"",HLOOKUP($C$2,$AV$2:$BD$83,80,0))</f>
        <v>０～１万円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226"/>
      <c r="AU81" s="226"/>
      <c r="AV81" s="65" t="s">
        <v>454</v>
      </c>
      <c r="AW81" s="65"/>
      <c r="AX81" s="65"/>
      <c r="AY81" s="65"/>
      <c r="AZ81" s="65"/>
      <c r="BA81" s="65"/>
      <c r="BB81" s="65"/>
      <c r="BC81" s="65"/>
      <c r="BD81" s="65"/>
    </row>
    <row r="82" spans="3:56" ht="17.25" customHeight="1">
      <c r="C82" s="221">
        <v>25</v>
      </c>
      <c r="D82" s="221">
        <v>22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226"/>
      <c r="AU82" s="226"/>
      <c r="AV82" s="65"/>
      <c r="AW82" s="65"/>
      <c r="AX82" s="65"/>
      <c r="AY82" s="65"/>
      <c r="AZ82" s="65"/>
      <c r="BA82" s="65"/>
      <c r="BB82" s="65"/>
      <c r="BC82" s="65"/>
      <c r="BD82" s="65"/>
    </row>
    <row r="83" spans="3:56" ht="17.25" customHeight="1">
      <c r="C83" s="221">
        <v>0</v>
      </c>
      <c r="D83" s="221">
        <v>0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226"/>
      <c r="AU83" s="226"/>
      <c r="AV83" s="65"/>
      <c r="AW83" s="65"/>
      <c r="AX83" s="65"/>
      <c r="AY83" s="65"/>
      <c r="AZ83" s="65"/>
      <c r="BA83" s="65"/>
      <c r="BB83" s="65"/>
      <c r="BC83" s="65"/>
      <c r="BD83" s="65"/>
    </row>
    <row r="84" spans="3:47" ht="17.25" customHeight="1">
      <c r="C84" s="59"/>
      <c r="D84" s="60" t="s">
        <v>82</v>
      </c>
      <c r="E84" s="222">
        <v>0</v>
      </c>
      <c r="F84" s="222">
        <f aca="true" t="shared" si="0" ref="F84:AS84">VLOOKUP(F85,$C5:$D83,2,0)</f>
        <v>22</v>
      </c>
      <c r="G84" s="222">
        <f t="shared" si="0"/>
        <v>44</v>
      </c>
      <c r="H84" s="222">
        <f t="shared" si="0"/>
        <v>66</v>
      </c>
      <c r="I84" s="222">
        <f t="shared" si="0"/>
        <v>82</v>
      </c>
      <c r="J84" s="222">
        <f t="shared" si="0"/>
        <v>98</v>
      </c>
      <c r="K84" s="222">
        <f t="shared" si="0"/>
        <v>113</v>
      </c>
      <c r="L84" s="222">
        <f t="shared" si="0"/>
        <v>131</v>
      </c>
      <c r="M84" s="222">
        <f t="shared" si="0"/>
        <v>148</v>
      </c>
      <c r="N84" s="222">
        <f t="shared" si="0"/>
        <v>165</v>
      </c>
      <c r="O84" s="222">
        <f t="shared" si="0"/>
        <v>185</v>
      </c>
      <c r="P84" s="222">
        <f t="shared" si="0"/>
        <v>203</v>
      </c>
      <c r="Q84" s="222">
        <f t="shared" si="0"/>
        <v>218</v>
      </c>
      <c r="R84" s="222">
        <f t="shared" si="0"/>
        <v>237</v>
      </c>
      <c r="S84" s="222">
        <f t="shared" si="0"/>
        <v>256</v>
      </c>
      <c r="T84" s="222">
        <f t="shared" si="0"/>
        <v>275</v>
      </c>
      <c r="U84" s="222">
        <f t="shared" si="0"/>
        <v>294</v>
      </c>
      <c r="V84" s="222">
        <f t="shared" si="0"/>
        <v>312</v>
      </c>
      <c r="W84" s="222">
        <f t="shared" si="0"/>
        <v>331</v>
      </c>
      <c r="X84" s="222">
        <f t="shared" si="0"/>
        <v>349</v>
      </c>
      <c r="Y84" s="222">
        <f t="shared" si="0"/>
        <v>373</v>
      </c>
      <c r="Z84" s="222">
        <f t="shared" si="0"/>
        <v>392</v>
      </c>
      <c r="AA84" s="222">
        <f t="shared" si="0"/>
        <v>410</v>
      </c>
      <c r="AB84" s="222">
        <f t="shared" si="0"/>
        <v>435</v>
      </c>
      <c r="AC84" s="222">
        <f t="shared" si="0"/>
        <v>453</v>
      </c>
      <c r="AD84" s="222">
        <f t="shared" si="0"/>
        <v>471</v>
      </c>
      <c r="AE84" s="222">
        <f t="shared" si="0"/>
        <v>496</v>
      </c>
      <c r="AF84" s="222">
        <f t="shared" si="0"/>
        <v>512</v>
      </c>
      <c r="AG84" s="222">
        <f t="shared" si="0"/>
        <v>527</v>
      </c>
      <c r="AH84" s="222">
        <f t="shared" si="0"/>
        <v>548</v>
      </c>
      <c r="AI84" s="222">
        <f t="shared" si="0"/>
        <v>563</v>
      </c>
      <c r="AJ84" s="222">
        <f t="shared" si="0"/>
        <v>582</v>
      </c>
      <c r="AK84" s="222">
        <f t="shared" si="0"/>
        <v>601</v>
      </c>
      <c r="AL84" s="222">
        <f t="shared" si="0"/>
        <v>622</v>
      </c>
      <c r="AM84" s="222">
        <f t="shared" si="0"/>
        <v>641</v>
      </c>
      <c r="AN84" s="222">
        <f t="shared" si="0"/>
        <v>662</v>
      </c>
      <c r="AO84" s="222">
        <f t="shared" si="0"/>
        <v>681</v>
      </c>
      <c r="AP84" s="222">
        <f t="shared" si="0"/>
        <v>699</v>
      </c>
      <c r="AQ84" s="222">
        <f t="shared" si="0"/>
        <v>721</v>
      </c>
      <c r="AR84" s="222">
        <f t="shared" si="0"/>
        <v>741</v>
      </c>
      <c r="AS84" s="223">
        <f t="shared" si="0"/>
        <v>763</v>
      </c>
      <c r="AT84" s="227"/>
      <c r="AU84" s="227"/>
    </row>
    <row r="85" spans="3:47" ht="17.25" customHeight="1">
      <c r="C85" s="687" t="s">
        <v>83</v>
      </c>
      <c r="D85" s="688"/>
      <c r="E85" s="222">
        <v>0</v>
      </c>
      <c r="F85" s="222">
        <v>25</v>
      </c>
      <c r="G85" s="222">
        <v>50</v>
      </c>
      <c r="H85" s="222">
        <v>75</v>
      </c>
      <c r="I85" s="222">
        <v>100</v>
      </c>
      <c r="J85" s="222">
        <v>125</v>
      </c>
      <c r="K85" s="222">
        <v>150</v>
      </c>
      <c r="L85" s="222">
        <v>175</v>
      </c>
      <c r="M85" s="222">
        <v>200</v>
      </c>
      <c r="N85" s="222">
        <v>225</v>
      </c>
      <c r="O85" s="222">
        <v>250</v>
      </c>
      <c r="P85" s="222">
        <v>275</v>
      </c>
      <c r="Q85" s="222">
        <v>300</v>
      </c>
      <c r="R85" s="222">
        <v>325</v>
      </c>
      <c r="S85" s="222">
        <v>350</v>
      </c>
      <c r="T85" s="222">
        <v>375</v>
      </c>
      <c r="U85" s="222">
        <v>400</v>
      </c>
      <c r="V85" s="222">
        <v>425</v>
      </c>
      <c r="W85" s="222">
        <v>450</v>
      </c>
      <c r="X85" s="222">
        <v>475</v>
      </c>
      <c r="Y85" s="222">
        <v>500</v>
      </c>
      <c r="Z85" s="222">
        <v>525</v>
      </c>
      <c r="AA85" s="222">
        <v>550</v>
      </c>
      <c r="AB85" s="222">
        <v>575</v>
      </c>
      <c r="AC85" s="222">
        <v>600</v>
      </c>
      <c r="AD85" s="222">
        <v>625</v>
      </c>
      <c r="AE85" s="222">
        <v>650</v>
      </c>
      <c r="AF85" s="222">
        <v>675</v>
      </c>
      <c r="AG85" s="222">
        <v>700</v>
      </c>
      <c r="AH85" s="222">
        <v>725</v>
      </c>
      <c r="AI85" s="222">
        <v>750</v>
      </c>
      <c r="AJ85" s="222">
        <v>775</v>
      </c>
      <c r="AK85" s="222">
        <v>800</v>
      </c>
      <c r="AL85" s="222">
        <v>825</v>
      </c>
      <c r="AM85" s="222">
        <v>850</v>
      </c>
      <c r="AN85" s="222">
        <v>875</v>
      </c>
      <c r="AO85" s="222">
        <v>900</v>
      </c>
      <c r="AP85" s="222">
        <v>925</v>
      </c>
      <c r="AQ85" s="222">
        <v>950</v>
      </c>
      <c r="AR85" s="222">
        <v>975</v>
      </c>
      <c r="AS85" s="223">
        <v>1000</v>
      </c>
      <c r="AT85" s="227"/>
      <c r="AU85" s="227"/>
    </row>
    <row r="86" spans="5:15" ht="17.25" customHeight="1">
      <c r="E86" s="63" t="s">
        <v>84</v>
      </c>
      <c r="F86" s="63" t="s">
        <v>85</v>
      </c>
      <c r="G86" s="63" t="s">
        <v>86</v>
      </c>
      <c r="H86" s="63" t="s">
        <v>64</v>
      </c>
      <c r="I86" s="63" t="s">
        <v>65</v>
      </c>
      <c r="J86" s="63" t="s">
        <v>66</v>
      </c>
      <c r="K86" s="63" t="s">
        <v>68</v>
      </c>
      <c r="L86" s="63" t="s">
        <v>69</v>
      </c>
      <c r="M86" s="63" t="s">
        <v>70</v>
      </c>
      <c r="N86" s="63" t="s">
        <v>71</v>
      </c>
      <c r="O86" s="63" t="s">
        <v>72</v>
      </c>
    </row>
  </sheetData>
  <sheetProtection/>
  <mergeCells count="2">
    <mergeCell ref="C2:D2"/>
    <mergeCell ref="C85:D85"/>
  </mergeCells>
  <printOptions/>
  <pageMargins left="0.1968503937007874" right="0.1968503937007874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&amp;L&amp;"-,太字"&amp;18行政書士　東京中央法務オフィス&amp;R&amp;"-,太字"&amp;18養育費算定表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SheetLayoutView="100" workbookViewId="0" topLeftCell="A1">
      <selection activeCell="D4" sqref="D4:F4"/>
    </sheetView>
  </sheetViews>
  <sheetFormatPr defaultColWidth="9.140625" defaultRowHeight="15"/>
  <cols>
    <col min="1" max="1" width="2.421875" style="54" bestFit="1" customWidth="1"/>
    <col min="2" max="2" width="3.7109375" style="54" bestFit="1" customWidth="1"/>
    <col min="3" max="3" width="9.140625" style="54" bestFit="1" customWidth="1"/>
    <col min="4" max="6" width="10.57421875" style="54" customWidth="1"/>
    <col min="7" max="7" width="3.7109375" style="54" customWidth="1"/>
    <col min="8" max="8" width="9.140625" style="54" customWidth="1"/>
    <col min="9" max="11" width="10.57421875" style="54" customWidth="1"/>
    <col min="12" max="12" width="2.421875" style="54" bestFit="1" customWidth="1"/>
    <col min="13" max="16384" width="9.00390625" style="54" customWidth="1"/>
  </cols>
  <sheetData>
    <row r="1" spans="1:12" ht="19.5" customHeight="1">
      <c r="A1" s="117" t="s">
        <v>220</v>
      </c>
      <c r="B1" s="123" t="s">
        <v>221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9.5" customHeight="1" thickBot="1">
      <c r="A2" s="119"/>
      <c r="B2" s="769" t="s">
        <v>222</v>
      </c>
      <c r="C2" s="769"/>
      <c r="D2" s="769"/>
      <c r="E2" s="769"/>
      <c r="F2" s="769"/>
      <c r="G2" s="769"/>
      <c r="H2" s="769"/>
      <c r="I2" s="769"/>
      <c r="J2" s="769"/>
      <c r="K2" s="769"/>
      <c r="L2" s="119"/>
    </row>
    <row r="3" spans="2:11" ht="24" customHeight="1">
      <c r="B3" s="770" t="s">
        <v>223</v>
      </c>
      <c r="C3" s="771"/>
      <c r="D3" s="772"/>
      <c r="E3" s="772"/>
      <c r="F3" s="773"/>
      <c r="G3" s="774" t="s">
        <v>224</v>
      </c>
      <c r="H3" s="775"/>
      <c r="I3" s="776"/>
      <c r="J3" s="776"/>
      <c r="K3" s="777"/>
    </row>
    <row r="4" spans="2:11" ht="24" customHeight="1">
      <c r="B4" s="752" t="s">
        <v>225</v>
      </c>
      <c r="C4" s="753"/>
      <c r="D4" s="754"/>
      <c r="E4" s="755"/>
      <c r="F4" s="756"/>
      <c r="G4" s="757" t="s">
        <v>115</v>
      </c>
      <c r="H4" s="758"/>
      <c r="I4" s="754"/>
      <c r="J4" s="755"/>
      <c r="K4" s="756"/>
    </row>
    <row r="5" spans="2:11" ht="24" customHeight="1">
      <c r="B5" s="752" t="s">
        <v>226</v>
      </c>
      <c r="C5" s="753"/>
      <c r="D5" s="754"/>
      <c r="E5" s="755"/>
      <c r="F5" s="756"/>
      <c r="G5" s="757" t="s">
        <v>116</v>
      </c>
      <c r="H5" s="758"/>
      <c r="I5" s="754"/>
      <c r="J5" s="755"/>
      <c r="K5" s="756"/>
    </row>
    <row r="6" spans="2:11" ht="24" customHeight="1">
      <c r="B6" s="767" t="s">
        <v>227</v>
      </c>
      <c r="C6" s="66" t="s">
        <v>228</v>
      </c>
      <c r="D6" s="754"/>
      <c r="E6" s="755"/>
      <c r="F6" s="756"/>
      <c r="G6" s="768" t="s">
        <v>117</v>
      </c>
      <c r="H6" s="67" t="s">
        <v>228</v>
      </c>
      <c r="I6" s="754"/>
      <c r="J6" s="755"/>
      <c r="K6" s="756"/>
    </row>
    <row r="7" spans="2:11" ht="24" customHeight="1">
      <c r="B7" s="752"/>
      <c r="C7" s="66" t="s">
        <v>229</v>
      </c>
      <c r="D7" s="754"/>
      <c r="E7" s="755"/>
      <c r="F7" s="756"/>
      <c r="G7" s="757"/>
      <c r="H7" s="67" t="s">
        <v>119</v>
      </c>
      <c r="I7" s="754"/>
      <c r="J7" s="755"/>
      <c r="K7" s="756"/>
    </row>
    <row r="8" spans="2:11" ht="24" customHeight="1">
      <c r="B8" s="752"/>
      <c r="C8" s="66" t="s">
        <v>230</v>
      </c>
      <c r="D8" s="754"/>
      <c r="E8" s="755"/>
      <c r="F8" s="756"/>
      <c r="G8" s="757"/>
      <c r="H8" s="67" t="s">
        <v>120</v>
      </c>
      <c r="I8" s="754"/>
      <c r="J8" s="755"/>
      <c r="K8" s="756"/>
    </row>
    <row r="9" spans="2:11" ht="24" customHeight="1">
      <c r="B9" s="763" t="s">
        <v>231</v>
      </c>
      <c r="C9" s="66" t="s">
        <v>232</v>
      </c>
      <c r="D9" s="754"/>
      <c r="E9" s="755"/>
      <c r="F9" s="756"/>
      <c r="G9" s="765" t="s">
        <v>231</v>
      </c>
      <c r="H9" s="67" t="s">
        <v>232</v>
      </c>
      <c r="I9" s="754"/>
      <c r="J9" s="755"/>
      <c r="K9" s="756"/>
    </row>
    <row r="10" spans="2:11" ht="24" customHeight="1">
      <c r="B10" s="764"/>
      <c r="C10" s="66" t="s">
        <v>233</v>
      </c>
      <c r="D10" s="754"/>
      <c r="E10" s="755"/>
      <c r="F10" s="756"/>
      <c r="G10" s="766"/>
      <c r="H10" s="67" t="s">
        <v>233</v>
      </c>
      <c r="I10" s="754"/>
      <c r="J10" s="755"/>
      <c r="K10" s="756"/>
    </row>
    <row r="11" spans="2:11" ht="24" customHeight="1">
      <c r="B11" s="759" t="s">
        <v>234</v>
      </c>
      <c r="C11" s="760"/>
      <c r="D11" s="754"/>
      <c r="E11" s="755"/>
      <c r="F11" s="756"/>
      <c r="G11" s="761" t="s">
        <v>121</v>
      </c>
      <c r="H11" s="762"/>
      <c r="I11" s="754"/>
      <c r="J11" s="755"/>
      <c r="K11" s="756"/>
    </row>
    <row r="12" spans="2:11" ht="24" customHeight="1">
      <c r="B12" s="752" t="s">
        <v>235</v>
      </c>
      <c r="C12" s="753"/>
      <c r="D12" s="754"/>
      <c r="E12" s="755"/>
      <c r="F12" s="756"/>
      <c r="G12" s="757" t="s">
        <v>122</v>
      </c>
      <c r="H12" s="758"/>
      <c r="I12" s="754"/>
      <c r="J12" s="755"/>
      <c r="K12" s="756"/>
    </row>
    <row r="13" spans="2:11" ht="24" customHeight="1">
      <c r="B13" s="752" t="s">
        <v>236</v>
      </c>
      <c r="C13" s="753"/>
      <c r="D13" s="754"/>
      <c r="E13" s="755"/>
      <c r="F13" s="756"/>
      <c r="G13" s="757" t="s">
        <v>125</v>
      </c>
      <c r="H13" s="758"/>
      <c r="I13" s="754"/>
      <c r="J13" s="755"/>
      <c r="K13" s="756"/>
    </row>
    <row r="14" ht="12" customHeight="1" thickBot="1"/>
    <row r="15" spans="2:11" ht="24" customHeight="1" thickBot="1">
      <c r="B15" s="712" t="s">
        <v>237</v>
      </c>
      <c r="C15" s="713"/>
      <c r="D15" s="713"/>
      <c r="E15" s="713"/>
      <c r="F15" s="714"/>
      <c r="G15" s="712" t="s">
        <v>238</v>
      </c>
      <c r="H15" s="713"/>
      <c r="I15" s="713"/>
      <c r="J15" s="713"/>
      <c r="K15" s="714"/>
    </row>
    <row r="16" spans="2:11" ht="24" customHeight="1">
      <c r="B16" s="746" t="s">
        <v>239</v>
      </c>
      <c r="C16" s="747"/>
      <c r="D16" s="709" t="s">
        <v>90</v>
      </c>
      <c r="E16" s="710"/>
      <c r="F16" s="711"/>
      <c r="G16" s="715" t="s">
        <v>240</v>
      </c>
      <c r="H16" s="716"/>
      <c r="I16" s="709" t="s">
        <v>90</v>
      </c>
      <c r="J16" s="710"/>
      <c r="K16" s="711"/>
    </row>
    <row r="17" spans="2:11" ht="24" customHeight="1">
      <c r="B17" s="748"/>
      <c r="C17" s="749"/>
      <c r="D17" s="702" t="s">
        <v>455</v>
      </c>
      <c r="E17" s="703"/>
      <c r="F17" s="704"/>
      <c r="G17" s="725" t="s">
        <v>241</v>
      </c>
      <c r="H17" s="726"/>
      <c r="I17" s="702"/>
      <c r="J17" s="703"/>
      <c r="K17" s="704"/>
    </row>
    <row r="18" spans="2:11" ht="24" customHeight="1">
      <c r="B18" s="748"/>
      <c r="C18" s="749"/>
      <c r="D18" s="86" t="s">
        <v>242</v>
      </c>
      <c r="E18" s="723"/>
      <c r="F18" s="724"/>
      <c r="G18" s="738" t="s">
        <v>212</v>
      </c>
      <c r="H18" s="739"/>
      <c r="I18" s="740" t="s">
        <v>243</v>
      </c>
      <c r="J18" s="741"/>
      <c r="K18" s="742"/>
    </row>
    <row r="19" spans="2:11" ht="24" customHeight="1" thickBot="1">
      <c r="B19" s="750"/>
      <c r="C19" s="751"/>
      <c r="D19" s="87" t="s">
        <v>244</v>
      </c>
      <c r="E19" s="735"/>
      <c r="F19" s="736"/>
      <c r="G19" s="727" t="s">
        <v>245</v>
      </c>
      <c r="H19" s="728"/>
      <c r="I19" s="702" t="s">
        <v>91</v>
      </c>
      <c r="J19" s="703"/>
      <c r="K19" s="704"/>
    </row>
    <row r="20" spans="2:11" ht="24" customHeight="1">
      <c r="B20" s="707" t="s">
        <v>246</v>
      </c>
      <c r="C20" s="89" t="s">
        <v>247</v>
      </c>
      <c r="D20" s="88" t="s">
        <v>248</v>
      </c>
      <c r="E20" s="744"/>
      <c r="F20" s="745"/>
      <c r="G20" s="737"/>
      <c r="H20" s="701"/>
      <c r="I20" s="702" t="s">
        <v>249</v>
      </c>
      <c r="J20" s="703"/>
      <c r="K20" s="704"/>
    </row>
    <row r="21" spans="2:11" ht="24" customHeight="1">
      <c r="B21" s="743"/>
      <c r="C21" s="90" t="s">
        <v>250</v>
      </c>
      <c r="D21" s="86" t="s">
        <v>248</v>
      </c>
      <c r="E21" s="723"/>
      <c r="F21" s="724"/>
      <c r="G21" s="737"/>
      <c r="H21" s="701"/>
      <c r="I21" s="702" t="s">
        <v>251</v>
      </c>
      <c r="J21" s="703"/>
      <c r="K21" s="704"/>
    </row>
    <row r="22" spans="2:11" ht="24" customHeight="1">
      <c r="B22" s="743"/>
      <c r="C22" s="90" t="s">
        <v>252</v>
      </c>
      <c r="D22" s="86" t="s">
        <v>248</v>
      </c>
      <c r="E22" s="723"/>
      <c r="F22" s="724"/>
      <c r="G22" s="738"/>
      <c r="H22" s="739"/>
      <c r="I22" s="705" t="s">
        <v>253</v>
      </c>
      <c r="J22" s="706"/>
      <c r="K22" s="95" t="s">
        <v>254</v>
      </c>
    </row>
    <row r="23" spans="2:11" ht="24" customHeight="1">
      <c r="B23" s="743"/>
      <c r="C23" s="90" t="s">
        <v>255</v>
      </c>
      <c r="D23" s="86" t="s">
        <v>256</v>
      </c>
      <c r="E23" s="723"/>
      <c r="F23" s="724"/>
      <c r="G23" s="727" t="s">
        <v>257</v>
      </c>
      <c r="H23" s="728"/>
      <c r="I23" s="96" t="s">
        <v>258</v>
      </c>
      <c r="J23" s="702"/>
      <c r="K23" s="704"/>
    </row>
    <row r="24" spans="2:11" ht="24" customHeight="1">
      <c r="B24" s="743"/>
      <c r="C24" s="90"/>
      <c r="D24" s="86" t="s">
        <v>256</v>
      </c>
      <c r="E24" s="723"/>
      <c r="F24" s="724"/>
      <c r="G24" s="737"/>
      <c r="H24" s="701"/>
      <c r="I24" s="96" t="s">
        <v>259</v>
      </c>
      <c r="J24" s="702"/>
      <c r="K24" s="704"/>
    </row>
    <row r="25" spans="2:11" ht="24" customHeight="1">
      <c r="B25" s="743"/>
      <c r="C25" s="90"/>
      <c r="D25" s="86" t="s">
        <v>256</v>
      </c>
      <c r="E25" s="723"/>
      <c r="F25" s="724"/>
      <c r="G25" s="737"/>
      <c r="H25" s="701"/>
      <c r="I25" s="96" t="s">
        <v>260</v>
      </c>
      <c r="J25" s="702" t="s">
        <v>344</v>
      </c>
      <c r="K25" s="704"/>
    </row>
    <row r="26" spans="2:11" ht="24" customHeight="1">
      <c r="B26" s="743"/>
      <c r="C26" s="90"/>
      <c r="D26" s="86" t="s">
        <v>256</v>
      </c>
      <c r="E26" s="723"/>
      <c r="F26" s="724"/>
      <c r="G26" s="737"/>
      <c r="H26" s="701"/>
      <c r="I26" s="96" t="s">
        <v>261</v>
      </c>
      <c r="J26" s="702"/>
      <c r="K26" s="704"/>
    </row>
    <row r="27" spans="2:11" ht="24" customHeight="1" thickBot="1">
      <c r="B27" s="743"/>
      <c r="C27" s="91"/>
      <c r="D27" s="86" t="s">
        <v>256</v>
      </c>
      <c r="E27" s="723"/>
      <c r="F27" s="724"/>
      <c r="G27" s="738"/>
      <c r="H27" s="739"/>
      <c r="I27" s="97" t="s">
        <v>262</v>
      </c>
      <c r="J27" s="702"/>
      <c r="K27" s="704"/>
    </row>
    <row r="28" spans="2:11" ht="24" customHeight="1" thickBot="1">
      <c r="B28" s="707" t="s">
        <v>263</v>
      </c>
      <c r="C28" s="92" t="s">
        <v>264</v>
      </c>
      <c r="D28" s="709" t="s">
        <v>90</v>
      </c>
      <c r="E28" s="710"/>
      <c r="F28" s="711"/>
      <c r="G28" s="712" t="s">
        <v>265</v>
      </c>
      <c r="H28" s="713"/>
      <c r="I28" s="713"/>
      <c r="J28" s="713"/>
      <c r="K28" s="714"/>
    </row>
    <row r="29" spans="2:11" ht="24" customHeight="1">
      <c r="B29" s="708"/>
      <c r="C29" s="93" t="s">
        <v>266</v>
      </c>
      <c r="D29" s="702"/>
      <c r="E29" s="703"/>
      <c r="F29" s="704"/>
      <c r="G29" s="715" t="s">
        <v>241</v>
      </c>
      <c r="H29" s="716"/>
      <c r="I29" s="709"/>
      <c r="J29" s="710"/>
      <c r="K29" s="711"/>
    </row>
    <row r="30" spans="2:11" ht="24" customHeight="1">
      <c r="B30" s="708"/>
      <c r="C30" s="93" t="s">
        <v>267</v>
      </c>
      <c r="D30" s="740" t="s">
        <v>243</v>
      </c>
      <c r="E30" s="741"/>
      <c r="F30" s="742"/>
      <c r="G30" s="725" t="s">
        <v>268</v>
      </c>
      <c r="H30" s="726"/>
      <c r="I30" s="702" t="s">
        <v>249</v>
      </c>
      <c r="J30" s="703"/>
      <c r="K30" s="704"/>
    </row>
    <row r="31" spans="2:11" ht="24" customHeight="1">
      <c r="B31" s="708"/>
      <c r="C31" s="700" t="s">
        <v>269</v>
      </c>
      <c r="D31" s="702" t="s">
        <v>91</v>
      </c>
      <c r="E31" s="703"/>
      <c r="F31" s="704"/>
      <c r="G31" s="725"/>
      <c r="H31" s="726"/>
      <c r="I31" s="702" t="s">
        <v>251</v>
      </c>
      <c r="J31" s="703"/>
      <c r="K31" s="704"/>
    </row>
    <row r="32" spans="2:11" ht="24" customHeight="1">
      <c r="B32" s="708"/>
      <c r="C32" s="701"/>
      <c r="D32" s="702" t="s">
        <v>249</v>
      </c>
      <c r="E32" s="703"/>
      <c r="F32" s="704"/>
      <c r="G32" s="725"/>
      <c r="H32" s="726"/>
      <c r="I32" s="705" t="s">
        <v>270</v>
      </c>
      <c r="J32" s="706"/>
      <c r="K32" s="95" t="s">
        <v>254</v>
      </c>
    </row>
    <row r="33" spans="2:11" ht="24" customHeight="1">
      <c r="B33" s="708"/>
      <c r="C33" s="701"/>
      <c r="D33" s="702" t="s">
        <v>251</v>
      </c>
      <c r="E33" s="703"/>
      <c r="F33" s="704"/>
      <c r="G33" s="725" t="s">
        <v>271</v>
      </c>
      <c r="H33" s="726"/>
      <c r="I33" s="729"/>
      <c r="J33" s="730"/>
      <c r="K33" s="731"/>
    </row>
    <row r="34" spans="2:11" ht="24" customHeight="1" thickBot="1">
      <c r="B34" s="708"/>
      <c r="C34" s="701"/>
      <c r="D34" s="705" t="s">
        <v>270</v>
      </c>
      <c r="E34" s="706"/>
      <c r="F34" s="100" t="s">
        <v>254</v>
      </c>
      <c r="G34" s="727"/>
      <c r="H34" s="728"/>
      <c r="I34" s="732"/>
      <c r="J34" s="733"/>
      <c r="K34" s="734"/>
    </row>
    <row r="35" spans="2:11" ht="24" customHeight="1" thickBot="1">
      <c r="B35" s="717" t="s">
        <v>272</v>
      </c>
      <c r="C35" s="718"/>
      <c r="D35" s="98" t="s">
        <v>273</v>
      </c>
      <c r="E35" s="719"/>
      <c r="F35" s="719"/>
      <c r="G35" s="720" t="s">
        <v>274</v>
      </c>
      <c r="H35" s="721"/>
      <c r="I35" s="719"/>
      <c r="J35" s="719"/>
      <c r="K35" s="722"/>
    </row>
    <row r="36" ht="12" customHeight="1"/>
    <row r="37" spans="2:11" ht="24" customHeight="1">
      <c r="B37" s="697" t="s">
        <v>126</v>
      </c>
      <c r="C37" s="698"/>
      <c r="D37" s="698"/>
      <c r="E37" s="698"/>
      <c r="F37" s="698"/>
      <c r="G37" s="698"/>
      <c r="H37" s="698"/>
      <c r="I37" s="698"/>
      <c r="J37" s="698"/>
      <c r="K37" s="699"/>
    </row>
    <row r="38" spans="2:11" ht="24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</row>
    <row r="39" spans="2:11" ht="24" customHeight="1">
      <c r="B39" s="71"/>
      <c r="C39" s="72"/>
      <c r="D39" s="72"/>
      <c r="E39" s="72"/>
      <c r="F39" s="72"/>
      <c r="G39" s="72"/>
      <c r="H39" s="72"/>
      <c r="I39" s="72"/>
      <c r="J39" s="72"/>
      <c r="K39" s="7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.75" customHeight="1"/>
    <row r="56" ht="15.75" customHeight="1"/>
    <row r="57" ht="15.75" customHeight="1"/>
  </sheetData>
  <sheetProtection/>
  <mergeCells count="93">
    <mergeCell ref="B2:K2"/>
    <mergeCell ref="B3:F3"/>
    <mergeCell ref="G3:K3"/>
    <mergeCell ref="B4:C4"/>
    <mergeCell ref="D4:F4"/>
    <mergeCell ref="G4:H4"/>
    <mergeCell ref="I4:K4"/>
    <mergeCell ref="B5:C5"/>
    <mergeCell ref="D5:F5"/>
    <mergeCell ref="G5:H5"/>
    <mergeCell ref="I5:K5"/>
    <mergeCell ref="B6:B8"/>
    <mergeCell ref="D6:F6"/>
    <mergeCell ref="G6:G8"/>
    <mergeCell ref="I6:K6"/>
    <mergeCell ref="D7:F7"/>
    <mergeCell ref="I7:K7"/>
    <mergeCell ref="D8:F8"/>
    <mergeCell ref="I8:K8"/>
    <mergeCell ref="B9:B10"/>
    <mergeCell ref="D9:F9"/>
    <mergeCell ref="G9:G10"/>
    <mergeCell ref="I9:K9"/>
    <mergeCell ref="D10:F10"/>
    <mergeCell ref="I10:K10"/>
    <mergeCell ref="B11:C11"/>
    <mergeCell ref="D11:F11"/>
    <mergeCell ref="G11:H11"/>
    <mergeCell ref="I11:K11"/>
    <mergeCell ref="B12:C12"/>
    <mergeCell ref="D12:F12"/>
    <mergeCell ref="G12:H12"/>
    <mergeCell ref="I12:K12"/>
    <mergeCell ref="I17:K17"/>
    <mergeCell ref="E18:F18"/>
    <mergeCell ref="G18:H18"/>
    <mergeCell ref="I18:K18"/>
    <mergeCell ref="B13:C13"/>
    <mergeCell ref="D13:F13"/>
    <mergeCell ref="G13:H13"/>
    <mergeCell ref="I13:K13"/>
    <mergeCell ref="B15:F15"/>
    <mergeCell ref="G15:K15"/>
    <mergeCell ref="I22:J22"/>
    <mergeCell ref="J25:K25"/>
    <mergeCell ref="E26:F26"/>
    <mergeCell ref="J26:K26"/>
    <mergeCell ref="B16:C19"/>
    <mergeCell ref="D16:F16"/>
    <mergeCell ref="G16:H16"/>
    <mergeCell ref="I16:K16"/>
    <mergeCell ref="D17:F17"/>
    <mergeCell ref="G17:H17"/>
    <mergeCell ref="G30:H32"/>
    <mergeCell ref="I30:K30"/>
    <mergeCell ref="E23:F23"/>
    <mergeCell ref="G23:H27"/>
    <mergeCell ref="B20:B27"/>
    <mergeCell ref="E20:F20"/>
    <mergeCell ref="I20:K20"/>
    <mergeCell ref="E21:F21"/>
    <mergeCell ref="I21:K21"/>
    <mergeCell ref="E22:F22"/>
    <mergeCell ref="G33:H34"/>
    <mergeCell ref="I33:K34"/>
    <mergeCell ref="D34:E34"/>
    <mergeCell ref="J27:K27"/>
    <mergeCell ref="E27:F27"/>
    <mergeCell ref="E19:F19"/>
    <mergeCell ref="G19:H22"/>
    <mergeCell ref="I19:K19"/>
    <mergeCell ref="I29:K29"/>
    <mergeCell ref="D30:F30"/>
    <mergeCell ref="G29:H29"/>
    <mergeCell ref="B35:C35"/>
    <mergeCell ref="E35:F35"/>
    <mergeCell ref="G35:H35"/>
    <mergeCell ref="I35:K35"/>
    <mergeCell ref="J23:K23"/>
    <mergeCell ref="E24:F24"/>
    <mergeCell ref="J24:K24"/>
    <mergeCell ref="E25:F25"/>
    <mergeCell ref="D33:F33"/>
    <mergeCell ref="B37:K37"/>
    <mergeCell ref="C31:C34"/>
    <mergeCell ref="D31:F31"/>
    <mergeCell ref="I31:K31"/>
    <mergeCell ref="D32:F32"/>
    <mergeCell ref="I32:J32"/>
    <mergeCell ref="B28:B34"/>
    <mergeCell ref="D28:F28"/>
    <mergeCell ref="G28:K28"/>
    <mergeCell ref="D29:F29"/>
  </mergeCells>
  <dataValidations count="4">
    <dataValidation type="list" allowBlank="1" showInputMessage="1" showErrorMessage="1" sqref="I19:J19 D31:E31">
      <formula1>"一括・分割,一括,分割"</formula1>
    </dataValidation>
    <dataValidation type="list" allowBlank="1" showInputMessage="1" showErrorMessage="1" sqref="D16:E16 I16:J16 D28:E28">
      <formula1>"有り・無し,有り,無し"</formula1>
    </dataValidation>
    <dataValidation allowBlank="1" showInputMessage="1" showErrorMessage="1" imeMode="off" sqref="I18:J18 D30:E30"/>
    <dataValidation allowBlank="1" showInputMessage="1" showErrorMessage="1" imeMode="on" sqref="C13:E13 H13:J1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&amp;L&amp;"TBP丸ｺﾞｼｯｸDE,太字"&amp;12離婚協議書・公正証書　必要事項記入シート&amp;R&amp;"ＭＳ Ｐゴシック,太字"&amp;12行政書士　東京中央法務オフィス</oddHeader>
    <oddFooter>&amp;Cメール：kotake@e-gyoseishoshi.com&amp;RFAX：03-6268-9018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X39"/>
  <sheetViews>
    <sheetView zoomScaleSheetLayoutView="100" workbookViewId="0" topLeftCell="A1">
      <selection activeCell="D4" sqref="D4:F4"/>
    </sheetView>
  </sheetViews>
  <sheetFormatPr defaultColWidth="9.140625" defaultRowHeight="15"/>
  <cols>
    <col min="1" max="1" width="2.421875" style="54" bestFit="1" customWidth="1"/>
    <col min="2" max="2" width="3.7109375" style="54" bestFit="1" customWidth="1"/>
    <col min="3" max="3" width="9.140625" style="54" bestFit="1" customWidth="1"/>
    <col min="4" max="6" width="10.57421875" style="54" customWidth="1"/>
    <col min="7" max="7" width="3.7109375" style="54" customWidth="1"/>
    <col min="8" max="8" width="9.140625" style="54" customWidth="1"/>
    <col min="9" max="11" width="10.57421875" style="54" customWidth="1"/>
    <col min="12" max="13" width="2.421875" style="54" bestFit="1" customWidth="1"/>
    <col min="14" max="14" width="3.7109375" style="54" bestFit="1" customWidth="1"/>
    <col min="15" max="15" width="9.140625" style="54" bestFit="1" customWidth="1"/>
    <col min="16" max="18" width="10.57421875" style="54" customWidth="1"/>
    <col min="19" max="19" width="3.7109375" style="54" customWidth="1"/>
    <col min="20" max="20" width="9.140625" style="54" customWidth="1"/>
    <col min="21" max="23" width="10.57421875" style="54" customWidth="1"/>
    <col min="24" max="24" width="2.421875" style="54" bestFit="1" customWidth="1"/>
    <col min="25" max="16384" width="9.00390625" style="54" customWidth="1"/>
  </cols>
  <sheetData>
    <row r="1" spans="1:12" ht="19.5" customHeight="1">
      <c r="A1" s="117" t="s">
        <v>220</v>
      </c>
      <c r="B1" s="123" t="s">
        <v>221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24" ht="19.5" customHeight="1" thickBot="1">
      <c r="A2" s="119"/>
      <c r="B2" s="769" t="s">
        <v>275</v>
      </c>
      <c r="C2" s="769"/>
      <c r="D2" s="769"/>
      <c r="E2" s="769"/>
      <c r="F2" s="769"/>
      <c r="G2" s="769"/>
      <c r="H2" s="769"/>
      <c r="I2" s="769"/>
      <c r="J2" s="769"/>
      <c r="K2" s="769"/>
      <c r="L2" s="119"/>
      <c r="N2" s="769" t="s">
        <v>276</v>
      </c>
      <c r="O2" s="769"/>
      <c r="P2" s="769"/>
      <c r="Q2" s="769"/>
      <c r="R2" s="769"/>
      <c r="S2" s="769"/>
      <c r="T2" s="769"/>
      <c r="U2" s="769"/>
      <c r="V2" s="769"/>
      <c r="W2" s="769"/>
      <c r="X2" s="119"/>
    </row>
    <row r="3" spans="2:23" ht="24" customHeight="1">
      <c r="B3" s="770" t="s">
        <v>223</v>
      </c>
      <c r="C3" s="771"/>
      <c r="D3" s="772"/>
      <c r="E3" s="772"/>
      <c r="F3" s="773"/>
      <c r="G3" s="774" t="s">
        <v>277</v>
      </c>
      <c r="H3" s="775"/>
      <c r="I3" s="776"/>
      <c r="J3" s="776"/>
      <c r="K3" s="777"/>
      <c r="N3" s="770" t="s">
        <v>223</v>
      </c>
      <c r="O3" s="771"/>
      <c r="P3" s="772"/>
      <c r="Q3" s="772"/>
      <c r="R3" s="773"/>
      <c r="S3" s="774" t="s">
        <v>277</v>
      </c>
      <c r="T3" s="775"/>
      <c r="U3" s="776"/>
      <c r="V3" s="776"/>
      <c r="W3" s="777"/>
    </row>
    <row r="4" spans="2:23" ht="24" customHeight="1">
      <c r="B4" s="752" t="s">
        <v>225</v>
      </c>
      <c r="C4" s="753"/>
      <c r="D4" s="754"/>
      <c r="E4" s="755"/>
      <c r="F4" s="756"/>
      <c r="G4" s="757" t="s">
        <v>115</v>
      </c>
      <c r="H4" s="758"/>
      <c r="I4" s="754"/>
      <c r="J4" s="755"/>
      <c r="K4" s="756"/>
      <c r="N4" s="752" t="s">
        <v>278</v>
      </c>
      <c r="O4" s="753"/>
      <c r="P4" s="754"/>
      <c r="Q4" s="755"/>
      <c r="R4" s="756"/>
      <c r="S4" s="757" t="s">
        <v>115</v>
      </c>
      <c r="T4" s="758"/>
      <c r="U4" s="754"/>
      <c r="V4" s="755"/>
      <c r="W4" s="756"/>
    </row>
    <row r="5" spans="2:23" ht="24" customHeight="1">
      <c r="B5" s="752" t="s">
        <v>226</v>
      </c>
      <c r="C5" s="753"/>
      <c r="D5" s="754"/>
      <c r="E5" s="755"/>
      <c r="F5" s="756"/>
      <c r="G5" s="757" t="s">
        <v>116</v>
      </c>
      <c r="H5" s="758"/>
      <c r="I5" s="754"/>
      <c r="J5" s="755"/>
      <c r="K5" s="756"/>
      <c r="N5" s="752" t="s">
        <v>226</v>
      </c>
      <c r="O5" s="753"/>
      <c r="P5" s="754"/>
      <c r="Q5" s="755"/>
      <c r="R5" s="756"/>
      <c r="S5" s="757" t="s">
        <v>116</v>
      </c>
      <c r="T5" s="758"/>
      <c r="U5" s="754"/>
      <c r="V5" s="755"/>
      <c r="W5" s="756"/>
    </row>
    <row r="6" spans="2:23" ht="24" customHeight="1">
      <c r="B6" s="767" t="s">
        <v>227</v>
      </c>
      <c r="C6" s="66" t="s">
        <v>228</v>
      </c>
      <c r="D6" s="754"/>
      <c r="E6" s="755"/>
      <c r="F6" s="756"/>
      <c r="G6" s="768" t="s">
        <v>117</v>
      </c>
      <c r="H6" s="67" t="s">
        <v>228</v>
      </c>
      <c r="I6" s="754"/>
      <c r="J6" s="755"/>
      <c r="K6" s="756"/>
      <c r="N6" s="767" t="s">
        <v>227</v>
      </c>
      <c r="O6" s="66" t="s">
        <v>228</v>
      </c>
      <c r="P6" s="754"/>
      <c r="Q6" s="755"/>
      <c r="R6" s="756"/>
      <c r="S6" s="768" t="s">
        <v>117</v>
      </c>
      <c r="T6" s="67" t="s">
        <v>228</v>
      </c>
      <c r="U6" s="754"/>
      <c r="V6" s="755"/>
      <c r="W6" s="756"/>
    </row>
    <row r="7" spans="2:23" ht="24" customHeight="1">
      <c r="B7" s="752"/>
      <c r="C7" s="66" t="s">
        <v>229</v>
      </c>
      <c r="D7" s="754"/>
      <c r="E7" s="755"/>
      <c r="F7" s="756"/>
      <c r="G7" s="757"/>
      <c r="H7" s="67" t="s">
        <v>119</v>
      </c>
      <c r="I7" s="754"/>
      <c r="J7" s="755"/>
      <c r="K7" s="756"/>
      <c r="N7" s="752"/>
      <c r="O7" s="66" t="s">
        <v>229</v>
      </c>
      <c r="P7" s="754"/>
      <c r="Q7" s="755"/>
      <c r="R7" s="756"/>
      <c r="S7" s="757"/>
      <c r="T7" s="67" t="s">
        <v>119</v>
      </c>
      <c r="U7" s="754"/>
      <c r="V7" s="755"/>
      <c r="W7" s="756"/>
    </row>
    <row r="8" spans="2:23" ht="24" customHeight="1">
      <c r="B8" s="752"/>
      <c r="C8" s="66" t="s">
        <v>230</v>
      </c>
      <c r="D8" s="754"/>
      <c r="E8" s="755"/>
      <c r="F8" s="756"/>
      <c r="G8" s="757"/>
      <c r="H8" s="67" t="s">
        <v>120</v>
      </c>
      <c r="I8" s="754"/>
      <c r="J8" s="755"/>
      <c r="K8" s="756"/>
      <c r="N8" s="752"/>
      <c r="O8" s="66" t="s">
        <v>230</v>
      </c>
      <c r="P8" s="754"/>
      <c r="Q8" s="755"/>
      <c r="R8" s="756"/>
      <c r="S8" s="757"/>
      <c r="T8" s="67" t="s">
        <v>120</v>
      </c>
      <c r="U8" s="754"/>
      <c r="V8" s="755"/>
      <c r="W8" s="756"/>
    </row>
    <row r="9" spans="2:23" ht="24" customHeight="1">
      <c r="B9" s="763" t="s">
        <v>231</v>
      </c>
      <c r="C9" s="66" t="s">
        <v>232</v>
      </c>
      <c r="D9" s="754"/>
      <c r="E9" s="755"/>
      <c r="F9" s="756"/>
      <c r="G9" s="765" t="s">
        <v>231</v>
      </c>
      <c r="H9" s="67" t="s">
        <v>232</v>
      </c>
      <c r="I9" s="754"/>
      <c r="J9" s="755"/>
      <c r="K9" s="756"/>
      <c r="N9" s="763" t="s">
        <v>231</v>
      </c>
      <c r="O9" s="66" t="s">
        <v>232</v>
      </c>
      <c r="P9" s="754"/>
      <c r="Q9" s="755"/>
      <c r="R9" s="756"/>
      <c r="S9" s="765" t="s">
        <v>231</v>
      </c>
      <c r="T9" s="67" t="s">
        <v>232</v>
      </c>
      <c r="U9" s="754"/>
      <c r="V9" s="755"/>
      <c r="W9" s="756"/>
    </row>
    <row r="10" spans="2:23" ht="24" customHeight="1">
      <c r="B10" s="764"/>
      <c r="C10" s="66" t="s">
        <v>233</v>
      </c>
      <c r="D10" s="754"/>
      <c r="E10" s="755"/>
      <c r="F10" s="756"/>
      <c r="G10" s="766"/>
      <c r="H10" s="67" t="s">
        <v>233</v>
      </c>
      <c r="I10" s="754"/>
      <c r="J10" s="755"/>
      <c r="K10" s="756"/>
      <c r="N10" s="764"/>
      <c r="O10" s="66" t="s">
        <v>233</v>
      </c>
      <c r="P10" s="754"/>
      <c r="Q10" s="755"/>
      <c r="R10" s="756"/>
      <c r="S10" s="766"/>
      <c r="T10" s="67" t="s">
        <v>233</v>
      </c>
      <c r="U10" s="754"/>
      <c r="V10" s="755"/>
      <c r="W10" s="756"/>
    </row>
    <row r="11" spans="2:23" ht="24" customHeight="1">
      <c r="B11" s="759" t="s">
        <v>234</v>
      </c>
      <c r="C11" s="760"/>
      <c r="D11" s="754"/>
      <c r="E11" s="755"/>
      <c r="F11" s="756"/>
      <c r="G11" s="761" t="s">
        <v>121</v>
      </c>
      <c r="H11" s="762"/>
      <c r="I11" s="754"/>
      <c r="J11" s="755"/>
      <c r="K11" s="756"/>
      <c r="N11" s="759" t="s">
        <v>234</v>
      </c>
      <c r="O11" s="760"/>
      <c r="P11" s="754"/>
      <c r="Q11" s="755"/>
      <c r="R11" s="756"/>
      <c r="S11" s="761" t="s">
        <v>121</v>
      </c>
      <c r="T11" s="762"/>
      <c r="U11" s="754"/>
      <c r="V11" s="755"/>
      <c r="W11" s="756"/>
    </row>
    <row r="12" spans="2:23" ht="24" customHeight="1">
      <c r="B12" s="752" t="s">
        <v>235</v>
      </c>
      <c r="C12" s="753"/>
      <c r="D12" s="754"/>
      <c r="E12" s="755"/>
      <c r="F12" s="756"/>
      <c r="G12" s="757" t="s">
        <v>122</v>
      </c>
      <c r="H12" s="758"/>
      <c r="I12" s="754"/>
      <c r="J12" s="755"/>
      <c r="K12" s="756"/>
      <c r="N12" s="752" t="s">
        <v>235</v>
      </c>
      <c r="O12" s="753"/>
      <c r="P12" s="754"/>
      <c r="Q12" s="755"/>
      <c r="R12" s="756"/>
      <c r="S12" s="757" t="s">
        <v>122</v>
      </c>
      <c r="T12" s="758"/>
      <c r="U12" s="754"/>
      <c r="V12" s="755"/>
      <c r="W12" s="756"/>
    </row>
    <row r="13" spans="2:23" ht="24" customHeight="1">
      <c r="B13" s="752" t="s">
        <v>236</v>
      </c>
      <c r="C13" s="753"/>
      <c r="D13" s="754"/>
      <c r="E13" s="755"/>
      <c r="F13" s="756"/>
      <c r="G13" s="757" t="s">
        <v>125</v>
      </c>
      <c r="H13" s="758"/>
      <c r="I13" s="754"/>
      <c r="J13" s="755"/>
      <c r="K13" s="756"/>
      <c r="N13" s="752" t="s">
        <v>236</v>
      </c>
      <c r="O13" s="753"/>
      <c r="P13" s="754"/>
      <c r="Q13" s="755"/>
      <c r="R13" s="756"/>
      <c r="S13" s="757" t="s">
        <v>125</v>
      </c>
      <c r="T13" s="758"/>
      <c r="U13" s="754"/>
      <c r="V13" s="755"/>
      <c r="W13" s="756"/>
    </row>
    <row r="14" ht="12" customHeight="1" thickBot="1"/>
    <row r="15" spans="2:23" ht="24" customHeight="1" thickBot="1">
      <c r="B15" s="712" t="s">
        <v>279</v>
      </c>
      <c r="C15" s="713"/>
      <c r="D15" s="713"/>
      <c r="E15" s="713"/>
      <c r="F15" s="713"/>
      <c r="G15" s="713"/>
      <c r="H15" s="713"/>
      <c r="I15" s="713"/>
      <c r="J15" s="713"/>
      <c r="K15" s="714"/>
      <c r="N15" s="712" t="s">
        <v>279</v>
      </c>
      <c r="O15" s="713"/>
      <c r="P15" s="713"/>
      <c r="Q15" s="713"/>
      <c r="R15" s="713"/>
      <c r="S15" s="713"/>
      <c r="T15" s="713"/>
      <c r="U15" s="713"/>
      <c r="V15" s="713"/>
      <c r="W15" s="714"/>
    </row>
    <row r="16" spans="2:23" ht="24" customHeight="1">
      <c r="B16" s="800" t="s">
        <v>280</v>
      </c>
      <c r="C16" s="101" t="s">
        <v>115</v>
      </c>
      <c r="D16" s="803"/>
      <c r="E16" s="804"/>
      <c r="F16" s="805"/>
      <c r="G16" s="800" t="s">
        <v>281</v>
      </c>
      <c r="H16" s="101" t="s">
        <v>115</v>
      </c>
      <c r="I16" s="803"/>
      <c r="J16" s="804"/>
      <c r="K16" s="805"/>
      <c r="N16" s="800" t="s">
        <v>282</v>
      </c>
      <c r="O16" s="101" t="s">
        <v>115</v>
      </c>
      <c r="P16" s="803"/>
      <c r="Q16" s="804"/>
      <c r="R16" s="805"/>
      <c r="S16" s="800" t="s">
        <v>283</v>
      </c>
      <c r="T16" s="101" t="s">
        <v>115</v>
      </c>
      <c r="U16" s="803"/>
      <c r="V16" s="804"/>
      <c r="W16" s="805"/>
    </row>
    <row r="17" spans="2:23" ht="24" customHeight="1">
      <c r="B17" s="801"/>
      <c r="C17" s="102" t="s">
        <v>116</v>
      </c>
      <c r="D17" s="729"/>
      <c r="E17" s="730"/>
      <c r="F17" s="731"/>
      <c r="G17" s="801"/>
      <c r="H17" s="102" t="s">
        <v>116</v>
      </c>
      <c r="I17" s="729"/>
      <c r="J17" s="730"/>
      <c r="K17" s="731"/>
      <c r="N17" s="801"/>
      <c r="O17" s="102" t="s">
        <v>116</v>
      </c>
      <c r="P17" s="729"/>
      <c r="Q17" s="730"/>
      <c r="R17" s="731"/>
      <c r="S17" s="801"/>
      <c r="T17" s="102" t="s">
        <v>116</v>
      </c>
      <c r="U17" s="729"/>
      <c r="V17" s="730"/>
      <c r="W17" s="731"/>
    </row>
    <row r="18" spans="2:23" ht="24" customHeight="1">
      <c r="B18" s="801"/>
      <c r="C18" s="102" t="s">
        <v>122</v>
      </c>
      <c r="D18" s="806"/>
      <c r="E18" s="807"/>
      <c r="F18" s="808"/>
      <c r="G18" s="801"/>
      <c r="H18" s="102" t="s">
        <v>122</v>
      </c>
      <c r="I18" s="806"/>
      <c r="J18" s="807"/>
      <c r="K18" s="808"/>
      <c r="N18" s="801"/>
      <c r="O18" s="102" t="s">
        <v>122</v>
      </c>
      <c r="P18" s="806"/>
      <c r="Q18" s="807"/>
      <c r="R18" s="808"/>
      <c r="S18" s="801"/>
      <c r="T18" s="102" t="s">
        <v>122</v>
      </c>
      <c r="U18" s="806"/>
      <c r="V18" s="807"/>
      <c r="W18" s="808"/>
    </row>
    <row r="19" spans="2:23" ht="24" customHeight="1">
      <c r="B19" s="801"/>
      <c r="C19" s="102" t="s">
        <v>123</v>
      </c>
      <c r="D19" s="797"/>
      <c r="E19" s="798"/>
      <c r="F19" s="799"/>
      <c r="G19" s="801"/>
      <c r="H19" s="102" t="s">
        <v>123</v>
      </c>
      <c r="I19" s="797"/>
      <c r="J19" s="798"/>
      <c r="K19" s="799"/>
      <c r="N19" s="801"/>
      <c r="O19" s="102" t="s">
        <v>123</v>
      </c>
      <c r="P19" s="797"/>
      <c r="Q19" s="798"/>
      <c r="R19" s="799"/>
      <c r="S19" s="801"/>
      <c r="T19" s="102" t="s">
        <v>123</v>
      </c>
      <c r="U19" s="797"/>
      <c r="V19" s="798"/>
      <c r="W19" s="799"/>
    </row>
    <row r="20" spans="2:23" ht="24" customHeight="1">
      <c r="B20" s="801"/>
      <c r="C20" s="102" t="s">
        <v>284</v>
      </c>
      <c r="D20" s="729"/>
      <c r="E20" s="730"/>
      <c r="F20" s="731"/>
      <c r="G20" s="801"/>
      <c r="H20" s="102" t="s">
        <v>284</v>
      </c>
      <c r="I20" s="729"/>
      <c r="J20" s="730"/>
      <c r="K20" s="731"/>
      <c r="N20" s="801"/>
      <c r="O20" s="102" t="s">
        <v>284</v>
      </c>
      <c r="P20" s="729"/>
      <c r="Q20" s="730"/>
      <c r="R20" s="731"/>
      <c r="S20" s="801"/>
      <c r="T20" s="102" t="s">
        <v>284</v>
      </c>
      <c r="U20" s="729"/>
      <c r="V20" s="730"/>
      <c r="W20" s="731"/>
    </row>
    <row r="21" spans="2:23" ht="24" customHeight="1">
      <c r="B21" s="801"/>
      <c r="C21" s="102" t="s">
        <v>285</v>
      </c>
      <c r="D21" s="729"/>
      <c r="E21" s="730"/>
      <c r="F21" s="731"/>
      <c r="G21" s="801"/>
      <c r="H21" s="102" t="s">
        <v>285</v>
      </c>
      <c r="I21" s="729"/>
      <c r="J21" s="730"/>
      <c r="K21" s="731"/>
      <c r="N21" s="801"/>
      <c r="O21" s="102" t="s">
        <v>285</v>
      </c>
      <c r="P21" s="729"/>
      <c r="Q21" s="730"/>
      <c r="R21" s="731"/>
      <c r="S21" s="801"/>
      <c r="T21" s="102" t="s">
        <v>285</v>
      </c>
      <c r="U21" s="729"/>
      <c r="V21" s="730"/>
      <c r="W21" s="731"/>
    </row>
    <row r="22" spans="2:23" ht="24" customHeight="1">
      <c r="B22" s="801"/>
      <c r="C22" s="102" t="s">
        <v>286</v>
      </c>
      <c r="D22" s="86" t="s">
        <v>287</v>
      </c>
      <c r="E22" s="795" t="s">
        <v>288</v>
      </c>
      <c r="F22" s="796"/>
      <c r="G22" s="801"/>
      <c r="H22" s="102" t="s">
        <v>286</v>
      </c>
      <c r="I22" s="86" t="s">
        <v>287</v>
      </c>
      <c r="J22" s="795" t="s">
        <v>288</v>
      </c>
      <c r="K22" s="796"/>
      <c r="N22" s="801"/>
      <c r="O22" s="102" t="s">
        <v>286</v>
      </c>
      <c r="P22" s="86" t="s">
        <v>287</v>
      </c>
      <c r="Q22" s="795" t="s">
        <v>288</v>
      </c>
      <c r="R22" s="796"/>
      <c r="S22" s="801"/>
      <c r="T22" s="102" t="s">
        <v>286</v>
      </c>
      <c r="U22" s="86" t="s">
        <v>287</v>
      </c>
      <c r="V22" s="795" t="s">
        <v>288</v>
      </c>
      <c r="W22" s="796"/>
    </row>
    <row r="23" spans="2:23" ht="24" customHeight="1">
      <c r="B23" s="801"/>
      <c r="C23" s="102" t="s">
        <v>289</v>
      </c>
      <c r="D23" s="702" t="s">
        <v>251</v>
      </c>
      <c r="E23" s="703"/>
      <c r="F23" s="704"/>
      <c r="G23" s="801"/>
      <c r="H23" s="102" t="s">
        <v>289</v>
      </c>
      <c r="I23" s="702" t="s">
        <v>251</v>
      </c>
      <c r="J23" s="703"/>
      <c r="K23" s="704"/>
      <c r="N23" s="801"/>
      <c r="O23" s="102" t="s">
        <v>289</v>
      </c>
      <c r="P23" s="702" t="s">
        <v>251</v>
      </c>
      <c r="Q23" s="703"/>
      <c r="R23" s="704"/>
      <c r="S23" s="801"/>
      <c r="T23" s="102" t="s">
        <v>289</v>
      </c>
      <c r="U23" s="702" t="s">
        <v>251</v>
      </c>
      <c r="V23" s="703"/>
      <c r="W23" s="704"/>
    </row>
    <row r="24" spans="2:23" ht="24" customHeight="1">
      <c r="B24" s="801"/>
      <c r="C24" s="102" t="s">
        <v>290</v>
      </c>
      <c r="D24" s="702"/>
      <c r="E24" s="703"/>
      <c r="F24" s="704"/>
      <c r="G24" s="801"/>
      <c r="H24" s="102" t="s">
        <v>290</v>
      </c>
      <c r="I24" s="702"/>
      <c r="J24" s="703"/>
      <c r="K24" s="704"/>
      <c r="N24" s="801"/>
      <c r="O24" s="102" t="s">
        <v>290</v>
      </c>
      <c r="P24" s="702"/>
      <c r="Q24" s="703"/>
      <c r="R24" s="704"/>
      <c r="S24" s="801"/>
      <c r="T24" s="102" t="s">
        <v>290</v>
      </c>
      <c r="U24" s="702"/>
      <c r="V24" s="703"/>
      <c r="W24" s="704"/>
    </row>
    <row r="25" spans="2:23" ht="24" customHeight="1">
      <c r="B25" s="801"/>
      <c r="C25" s="94"/>
      <c r="D25" s="790"/>
      <c r="E25" s="695"/>
      <c r="F25" s="791"/>
      <c r="G25" s="801"/>
      <c r="H25" s="94"/>
      <c r="I25" s="790"/>
      <c r="J25" s="695"/>
      <c r="K25" s="791"/>
      <c r="N25" s="801"/>
      <c r="O25" s="94"/>
      <c r="P25" s="790"/>
      <c r="Q25" s="695"/>
      <c r="R25" s="791"/>
      <c r="S25" s="801"/>
      <c r="T25" s="94"/>
      <c r="U25" s="790"/>
      <c r="V25" s="695"/>
      <c r="W25" s="791"/>
    </row>
    <row r="26" spans="2:23" ht="24" customHeight="1">
      <c r="B26" s="801"/>
      <c r="C26" s="94" t="s">
        <v>241</v>
      </c>
      <c r="D26" s="792"/>
      <c r="E26" s="793"/>
      <c r="F26" s="794"/>
      <c r="G26" s="801"/>
      <c r="H26" s="102" t="s">
        <v>241</v>
      </c>
      <c r="I26" s="792"/>
      <c r="J26" s="793"/>
      <c r="K26" s="794"/>
      <c r="N26" s="801"/>
      <c r="O26" s="94" t="s">
        <v>241</v>
      </c>
      <c r="P26" s="792"/>
      <c r="Q26" s="793"/>
      <c r="R26" s="794"/>
      <c r="S26" s="801"/>
      <c r="T26" s="102" t="s">
        <v>241</v>
      </c>
      <c r="U26" s="792"/>
      <c r="V26" s="793"/>
      <c r="W26" s="794"/>
    </row>
    <row r="27" spans="2:23" ht="24" customHeight="1">
      <c r="B27" s="801"/>
      <c r="C27" s="787" t="s">
        <v>291</v>
      </c>
      <c r="D27" s="96" t="s">
        <v>258</v>
      </c>
      <c r="E27" s="702"/>
      <c r="F27" s="704"/>
      <c r="G27" s="801"/>
      <c r="H27" s="787" t="s">
        <v>291</v>
      </c>
      <c r="I27" s="96" t="s">
        <v>258</v>
      </c>
      <c r="J27" s="702"/>
      <c r="K27" s="704"/>
      <c r="N27" s="801"/>
      <c r="O27" s="787" t="s">
        <v>291</v>
      </c>
      <c r="P27" s="96" t="s">
        <v>258</v>
      </c>
      <c r="Q27" s="702"/>
      <c r="R27" s="704"/>
      <c r="S27" s="801"/>
      <c r="T27" s="787" t="s">
        <v>291</v>
      </c>
      <c r="U27" s="96" t="s">
        <v>258</v>
      </c>
      <c r="V27" s="702"/>
      <c r="W27" s="704"/>
    </row>
    <row r="28" spans="2:23" ht="24" customHeight="1">
      <c r="B28" s="801"/>
      <c r="C28" s="788"/>
      <c r="D28" s="96" t="s">
        <v>259</v>
      </c>
      <c r="E28" s="702"/>
      <c r="F28" s="704"/>
      <c r="G28" s="801"/>
      <c r="H28" s="788"/>
      <c r="I28" s="96" t="s">
        <v>259</v>
      </c>
      <c r="J28" s="702"/>
      <c r="K28" s="704"/>
      <c r="N28" s="801"/>
      <c r="O28" s="788"/>
      <c r="P28" s="96" t="s">
        <v>259</v>
      </c>
      <c r="Q28" s="702"/>
      <c r="R28" s="704"/>
      <c r="S28" s="801"/>
      <c r="T28" s="788"/>
      <c r="U28" s="96" t="s">
        <v>259</v>
      </c>
      <c r="V28" s="702"/>
      <c r="W28" s="704"/>
    </row>
    <row r="29" spans="2:23" ht="24" customHeight="1">
      <c r="B29" s="801"/>
      <c r="C29" s="788"/>
      <c r="D29" s="96" t="s">
        <v>260</v>
      </c>
      <c r="E29" s="702" t="s">
        <v>344</v>
      </c>
      <c r="F29" s="704"/>
      <c r="G29" s="801"/>
      <c r="H29" s="788"/>
      <c r="I29" s="96" t="s">
        <v>260</v>
      </c>
      <c r="J29" s="702" t="s">
        <v>344</v>
      </c>
      <c r="K29" s="704"/>
      <c r="N29" s="801"/>
      <c r="O29" s="788"/>
      <c r="P29" s="96" t="s">
        <v>260</v>
      </c>
      <c r="Q29" s="702" t="s">
        <v>344</v>
      </c>
      <c r="R29" s="704"/>
      <c r="S29" s="801"/>
      <c r="T29" s="788"/>
      <c r="U29" s="96" t="s">
        <v>260</v>
      </c>
      <c r="V29" s="702" t="s">
        <v>344</v>
      </c>
      <c r="W29" s="704"/>
    </row>
    <row r="30" spans="2:23" ht="24" customHeight="1">
      <c r="B30" s="801"/>
      <c r="C30" s="788"/>
      <c r="D30" s="96" t="s">
        <v>261</v>
      </c>
      <c r="E30" s="702"/>
      <c r="F30" s="704"/>
      <c r="G30" s="801"/>
      <c r="H30" s="788"/>
      <c r="I30" s="96" t="s">
        <v>261</v>
      </c>
      <c r="J30" s="702"/>
      <c r="K30" s="704"/>
      <c r="N30" s="801"/>
      <c r="O30" s="788"/>
      <c r="P30" s="96" t="s">
        <v>261</v>
      </c>
      <c r="Q30" s="702"/>
      <c r="R30" s="704"/>
      <c r="S30" s="801"/>
      <c r="T30" s="788"/>
      <c r="U30" s="96" t="s">
        <v>261</v>
      </c>
      <c r="V30" s="702"/>
      <c r="W30" s="704"/>
    </row>
    <row r="31" spans="2:23" ht="24" customHeight="1">
      <c r="B31" s="801"/>
      <c r="C31" s="789"/>
      <c r="D31" s="99" t="s">
        <v>262</v>
      </c>
      <c r="E31" s="702"/>
      <c r="F31" s="704"/>
      <c r="G31" s="801"/>
      <c r="H31" s="789"/>
      <c r="I31" s="99" t="s">
        <v>262</v>
      </c>
      <c r="J31" s="702"/>
      <c r="K31" s="704"/>
      <c r="N31" s="801"/>
      <c r="O31" s="789"/>
      <c r="P31" s="99" t="s">
        <v>262</v>
      </c>
      <c r="Q31" s="702"/>
      <c r="R31" s="704"/>
      <c r="S31" s="801"/>
      <c r="T31" s="789"/>
      <c r="U31" s="99" t="s">
        <v>262</v>
      </c>
      <c r="V31" s="702"/>
      <c r="W31" s="704"/>
    </row>
    <row r="32" spans="2:23" ht="24" customHeight="1">
      <c r="B32" s="801"/>
      <c r="C32" s="778" t="s">
        <v>292</v>
      </c>
      <c r="D32" s="85" t="s">
        <v>287</v>
      </c>
      <c r="E32" s="785" t="s">
        <v>293</v>
      </c>
      <c r="F32" s="786"/>
      <c r="G32" s="801"/>
      <c r="H32" s="778" t="s">
        <v>292</v>
      </c>
      <c r="I32" s="85" t="s">
        <v>287</v>
      </c>
      <c r="J32" s="785" t="s">
        <v>293</v>
      </c>
      <c r="K32" s="786"/>
      <c r="N32" s="801"/>
      <c r="O32" s="778" t="s">
        <v>292</v>
      </c>
      <c r="P32" s="85" t="s">
        <v>287</v>
      </c>
      <c r="Q32" s="785" t="s">
        <v>293</v>
      </c>
      <c r="R32" s="786"/>
      <c r="S32" s="801"/>
      <c r="T32" s="778" t="s">
        <v>292</v>
      </c>
      <c r="U32" s="85" t="s">
        <v>287</v>
      </c>
      <c r="V32" s="785" t="s">
        <v>293</v>
      </c>
      <c r="W32" s="786"/>
    </row>
    <row r="33" spans="2:23" ht="24" customHeight="1">
      <c r="B33" s="801"/>
      <c r="C33" s="779"/>
      <c r="D33" s="64" t="s">
        <v>342</v>
      </c>
      <c r="E33" s="702" t="s">
        <v>90</v>
      </c>
      <c r="F33" s="704"/>
      <c r="G33" s="801"/>
      <c r="H33" s="779"/>
      <c r="I33" s="64" t="s">
        <v>342</v>
      </c>
      <c r="J33" s="702" t="s">
        <v>90</v>
      </c>
      <c r="K33" s="704"/>
      <c r="N33" s="801"/>
      <c r="O33" s="779"/>
      <c r="P33" s="64" t="s">
        <v>342</v>
      </c>
      <c r="Q33" s="702" t="s">
        <v>90</v>
      </c>
      <c r="R33" s="704"/>
      <c r="S33" s="801"/>
      <c r="T33" s="779"/>
      <c r="U33" s="64" t="s">
        <v>342</v>
      </c>
      <c r="V33" s="702" t="s">
        <v>90</v>
      </c>
      <c r="W33" s="704"/>
    </row>
    <row r="34" spans="2:23" ht="24" customHeight="1">
      <c r="B34" s="801"/>
      <c r="C34" s="780"/>
      <c r="D34" s="64"/>
      <c r="E34" s="702" t="s">
        <v>90</v>
      </c>
      <c r="F34" s="704"/>
      <c r="G34" s="801"/>
      <c r="H34" s="780"/>
      <c r="I34" s="64"/>
      <c r="J34" s="702" t="s">
        <v>90</v>
      </c>
      <c r="K34" s="704"/>
      <c r="N34" s="801"/>
      <c r="O34" s="780"/>
      <c r="P34" s="64"/>
      <c r="Q34" s="702" t="s">
        <v>90</v>
      </c>
      <c r="R34" s="704"/>
      <c r="S34" s="801"/>
      <c r="T34" s="780"/>
      <c r="U34" s="64"/>
      <c r="V34" s="702" t="s">
        <v>90</v>
      </c>
      <c r="W34" s="704"/>
    </row>
    <row r="35" spans="2:23" ht="24" customHeight="1" thickBot="1">
      <c r="B35" s="802"/>
      <c r="C35" s="783" t="s">
        <v>345</v>
      </c>
      <c r="D35" s="784"/>
      <c r="E35" s="781" t="s">
        <v>346</v>
      </c>
      <c r="F35" s="782"/>
      <c r="G35" s="802"/>
      <c r="H35" s="783" t="s">
        <v>345</v>
      </c>
      <c r="I35" s="784"/>
      <c r="J35" s="781" t="s">
        <v>346</v>
      </c>
      <c r="K35" s="782"/>
      <c r="N35" s="802"/>
      <c r="O35" s="783" t="s">
        <v>345</v>
      </c>
      <c r="P35" s="784"/>
      <c r="Q35" s="781" t="s">
        <v>346</v>
      </c>
      <c r="R35" s="782"/>
      <c r="S35" s="802"/>
      <c r="T35" s="783" t="s">
        <v>345</v>
      </c>
      <c r="U35" s="784"/>
      <c r="V35" s="781" t="s">
        <v>346</v>
      </c>
      <c r="W35" s="782"/>
    </row>
    <row r="36" ht="12" customHeight="1"/>
    <row r="37" spans="2:23" ht="24" customHeight="1">
      <c r="B37" s="697" t="s">
        <v>126</v>
      </c>
      <c r="C37" s="698"/>
      <c r="D37" s="698"/>
      <c r="E37" s="698"/>
      <c r="F37" s="698"/>
      <c r="G37" s="698"/>
      <c r="H37" s="698"/>
      <c r="I37" s="698"/>
      <c r="J37" s="698"/>
      <c r="K37" s="699"/>
      <c r="N37" s="697" t="s">
        <v>126</v>
      </c>
      <c r="O37" s="698"/>
      <c r="P37" s="698"/>
      <c r="Q37" s="698"/>
      <c r="R37" s="698"/>
      <c r="S37" s="698"/>
      <c r="T37" s="698"/>
      <c r="U37" s="698"/>
      <c r="V37" s="698"/>
      <c r="W37" s="699"/>
    </row>
    <row r="38" spans="2:23" ht="24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N38" s="68"/>
      <c r="O38" s="69"/>
      <c r="P38" s="69"/>
      <c r="Q38" s="69"/>
      <c r="R38" s="69"/>
      <c r="S38" s="69"/>
      <c r="T38" s="69"/>
      <c r="U38" s="69"/>
      <c r="V38" s="69"/>
      <c r="W38" s="70"/>
    </row>
    <row r="39" spans="2:23" ht="24" customHeight="1">
      <c r="B39" s="71"/>
      <c r="C39" s="72"/>
      <c r="D39" s="72"/>
      <c r="E39" s="72"/>
      <c r="F39" s="72"/>
      <c r="G39" s="72"/>
      <c r="H39" s="72"/>
      <c r="I39" s="72"/>
      <c r="J39" s="72"/>
      <c r="K39" s="73"/>
      <c r="N39" s="71"/>
      <c r="O39" s="72"/>
      <c r="P39" s="72"/>
      <c r="Q39" s="72"/>
      <c r="R39" s="72"/>
      <c r="S39" s="72"/>
      <c r="T39" s="72"/>
      <c r="U39" s="72"/>
      <c r="V39" s="72"/>
      <c r="W39" s="7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.75" customHeight="1"/>
    <row r="56" ht="15.75" customHeight="1"/>
    <row r="57" ht="15.75" customHeight="1"/>
  </sheetData>
  <sheetProtection/>
  <mergeCells count="174">
    <mergeCell ref="B2:K2"/>
    <mergeCell ref="N2:W2"/>
    <mergeCell ref="B3:F3"/>
    <mergeCell ref="G3:K3"/>
    <mergeCell ref="N3:R3"/>
    <mergeCell ref="S3:W3"/>
    <mergeCell ref="B4:C4"/>
    <mergeCell ref="D4:F4"/>
    <mergeCell ref="G4:H4"/>
    <mergeCell ref="I4:K4"/>
    <mergeCell ref="N4:O4"/>
    <mergeCell ref="P4:R4"/>
    <mergeCell ref="S4:T4"/>
    <mergeCell ref="U4:W4"/>
    <mergeCell ref="B5:C5"/>
    <mergeCell ref="D5:F5"/>
    <mergeCell ref="G5:H5"/>
    <mergeCell ref="I5:K5"/>
    <mergeCell ref="N5:O5"/>
    <mergeCell ref="P5:R5"/>
    <mergeCell ref="S5:T5"/>
    <mergeCell ref="U5:W5"/>
    <mergeCell ref="B6:B8"/>
    <mergeCell ref="D6:F6"/>
    <mergeCell ref="G6:G8"/>
    <mergeCell ref="I6:K6"/>
    <mergeCell ref="N6:N8"/>
    <mergeCell ref="P6:R6"/>
    <mergeCell ref="S6:S8"/>
    <mergeCell ref="U6:W6"/>
    <mergeCell ref="D7:F7"/>
    <mergeCell ref="I7:K7"/>
    <mergeCell ref="P7:R7"/>
    <mergeCell ref="U7:W7"/>
    <mergeCell ref="D8:F8"/>
    <mergeCell ref="I8:K8"/>
    <mergeCell ref="P8:R8"/>
    <mergeCell ref="U8:W8"/>
    <mergeCell ref="B9:B10"/>
    <mergeCell ref="D9:F9"/>
    <mergeCell ref="G9:G10"/>
    <mergeCell ref="I9:K9"/>
    <mergeCell ref="N9:N10"/>
    <mergeCell ref="P9:R9"/>
    <mergeCell ref="S9:S10"/>
    <mergeCell ref="U9:W9"/>
    <mergeCell ref="D10:F10"/>
    <mergeCell ref="I10:K10"/>
    <mergeCell ref="P10:R10"/>
    <mergeCell ref="U10:W10"/>
    <mergeCell ref="B11:C11"/>
    <mergeCell ref="D11:F11"/>
    <mergeCell ref="G11:H11"/>
    <mergeCell ref="I11:K11"/>
    <mergeCell ref="N11:O11"/>
    <mergeCell ref="P11:R11"/>
    <mergeCell ref="S11:T11"/>
    <mergeCell ref="U11:W11"/>
    <mergeCell ref="B12:C12"/>
    <mergeCell ref="D12:F12"/>
    <mergeCell ref="G12:H12"/>
    <mergeCell ref="I12:K12"/>
    <mergeCell ref="N12:O12"/>
    <mergeCell ref="P12:R12"/>
    <mergeCell ref="S12:T12"/>
    <mergeCell ref="U12:W12"/>
    <mergeCell ref="B13:C13"/>
    <mergeCell ref="D13:F13"/>
    <mergeCell ref="G13:H13"/>
    <mergeCell ref="I13:K13"/>
    <mergeCell ref="N13:O13"/>
    <mergeCell ref="P13:R13"/>
    <mergeCell ref="S13:T13"/>
    <mergeCell ref="U13:W13"/>
    <mergeCell ref="B15:K15"/>
    <mergeCell ref="N15:W15"/>
    <mergeCell ref="B16:B35"/>
    <mergeCell ref="D16:F16"/>
    <mergeCell ref="G16:G35"/>
    <mergeCell ref="I16:K16"/>
    <mergeCell ref="N16:N35"/>
    <mergeCell ref="P16:R16"/>
    <mergeCell ref="U16:W16"/>
    <mergeCell ref="D17:F17"/>
    <mergeCell ref="I17:K17"/>
    <mergeCell ref="P17:R17"/>
    <mergeCell ref="U17:W17"/>
    <mergeCell ref="D18:F18"/>
    <mergeCell ref="I18:K18"/>
    <mergeCell ref="P18:R18"/>
    <mergeCell ref="U18:W18"/>
    <mergeCell ref="V22:W22"/>
    <mergeCell ref="D19:F19"/>
    <mergeCell ref="I19:K19"/>
    <mergeCell ref="P19:R19"/>
    <mergeCell ref="U19:W19"/>
    <mergeCell ref="D20:F20"/>
    <mergeCell ref="I20:K20"/>
    <mergeCell ref="P20:R20"/>
    <mergeCell ref="U20:W20"/>
    <mergeCell ref="S16:S35"/>
    <mergeCell ref="I24:K24"/>
    <mergeCell ref="P24:R24"/>
    <mergeCell ref="U24:W24"/>
    <mergeCell ref="D21:F21"/>
    <mergeCell ref="I21:K21"/>
    <mergeCell ref="P21:R21"/>
    <mergeCell ref="U21:W21"/>
    <mergeCell ref="E22:F22"/>
    <mergeCell ref="J22:K22"/>
    <mergeCell ref="Q22:R22"/>
    <mergeCell ref="U25:W25"/>
    <mergeCell ref="D26:F26"/>
    <mergeCell ref="I26:K26"/>
    <mergeCell ref="P26:R26"/>
    <mergeCell ref="U26:W26"/>
    <mergeCell ref="D23:F23"/>
    <mergeCell ref="I23:K23"/>
    <mergeCell ref="P23:R23"/>
    <mergeCell ref="U23:W23"/>
    <mergeCell ref="D24:F24"/>
    <mergeCell ref="D25:F25"/>
    <mergeCell ref="I25:K25"/>
    <mergeCell ref="P25:R25"/>
    <mergeCell ref="E29:F29"/>
    <mergeCell ref="J29:K29"/>
    <mergeCell ref="Q29:R29"/>
    <mergeCell ref="V29:W29"/>
    <mergeCell ref="C27:C31"/>
    <mergeCell ref="E27:F27"/>
    <mergeCell ref="H27:H31"/>
    <mergeCell ref="J27:K27"/>
    <mergeCell ref="O27:O31"/>
    <mergeCell ref="Q27:R27"/>
    <mergeCell ref="E30:F30"/>
    <mergeCell ref="J30:K30"/>
    <mergeCell ref="Q30:R30"/>
    <mergeCell ref="E32:F32"/>
    <mergeCell ref="J32:K32"/>
    <mergeCell ref="Q32:R32"/>
    <mergeCell ref="V32:W32"/>
    <mergeCell ref="T27:T31"/>
    <mergeCell ref="V27:W27"/>
    <mergeCell ref="E28:F28"/>
    <mergeCell ref="J28:K28"/>
    <mergeCell ref="Q28:R28"/>
    <mergeCell ref="V28:W28"/>
    <mergeCell ref="V33:W33"/>
    <mergeCell ref="E34:F34"/>
    <mergeCell ref="J34:K34"/>
    <mergeCell ref="Q34:R34"/>
    <mergeCell ref="V34:W34"/>
    <mergeCell ref="V30:W30"/>
    <mergeCell ref="E31:F31"/>
    <mergeCell ref="J31:K31"/>
    <mergeCell ref="Q31:R31"/>
    <mergeCell ref="V31:W31"/>
    <mergeCell ref="V35:W35"/>
    <mergeCell ref="B37:K37"/>
    <mergeCell ref="N37:W37"/>
    <mergeCell ref="C35:D35"/>
    <mergeCell ref="H35:I35"/>
    <mergeCell ref="O35:P35"/>
    <mergeCell ref="T35:U35"/>
    <mergeCell ref="C32:C34"/>
    <mergeCell ref="H32:H34"/>
    <mergeCell ref="O32:O34"/>
    <mergeCell ref="T32:T34"/>
    <mergeCell ref="E35:F35"/>
    <mergeCell ref="J35:K35"/>
    <mergeCell ref="Q35:R35"/>
    <mergeCell ref="E33:F33"/>
    <mergeCell ref="J33:K33"/>
    <mergeCell ref="Q33:R33"/>
  </mergeCells>
  <dataValidations count="3">
    <dataValidation allowBlank="1" showInputMessage="1" showErrorMessage="1" imeMode="on" sqref="C13:E13 H13:J13 O13:Q13 T13:V13"/>
    <dataValidation allowBlank="1" showInputMessage="1" showErrorMessage="1" imeMode="off" sqref="D22 I22 P22 U22"/>
    <dataValidation type="list" allowBlank="1" showInputMessage="1" showErrorMessage="1" sqref="J33:K34 E33:F34 Q33:R34 V33:W34">
      <formula1>"有り・無し,有り,無し"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&amp;L&amp;"TBP丸ｺﾞｼｯｸDE,太字"&amp;12離婚協議書・公正証書　必要事項記入シート&amp;R&amp;"ＭＳ Ｐゴシック,太字"&amp;12行政書士　東京中央法務オフィス</oddHeader>
    <oddFooter>&amp;Cメール：kotake@e-gyoseishoshi.com&amp;RFAX：03-6268-9018</oddFooter>
  </headerFooter>
  <colBreaks count="1" manualBreakCount="1">
    <brk id="12" max="3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X39"/>
  <sheetViews>
    <sheetView zoomScale="85" zoomScaleNormal="85" zoomScaleSheetLayoutView="100" workbookViewId="0" topLeftCell="A1">
      <selection activeCell="A1" sqref="A1:L1"/>
    </sheetView>
  </sheetViews>
  <sheetFormatPr defaultColWidth="9.140625" defaultRowHeight="15"/>
  <cols>
    <col min="1" max="1" width="2.421875" style="54" bestFit="1" customWidth="1"/>
    <col min="2" max="2" width="3.7109375" style="54" bestFit="1" customWidth="1"/>
    <col min="3" max="3" width="9.140625" style="54" bestFit="1" customWidth="1"/>
    <col min="4" max="6" width="10.57421875" style="54" customWidth="1"/>
    <col min="7" max="7" width="3.7109375" style="54" customWidth="1"/>
    <col min="8" max="8" width="9.140625" style="54" customWidth="1"/>
    <col min="9" max="11" width="10.57421875" style="54" customWidth="1"/>
    <col min="12" max="13" width="2.421875" style="54" bestFit="1" customWidth="1"/>
    <col min="14" max="14" width="3.7109375" style="54" bestFit="1" customWidth="1"/>
    <col min="15" max="15" width="9.140625" style="54" bestFit="1" customWidth="1"/>
    <col min="16" max="18" width="10.57421875" style="54" customWidth="1"/>
    <col min="19" max="19" width="3.7109375" style="54" customWidth="1"/>
    <col min="20" max="20" width="9.140625" style="54" customWidth="1"/>
    <col min="21" max="23" width="10.57421875" style="54" customWidth="1"/>
    <col min="24" max="24" width="2.421875" style="54" bestFit="1" customWidth="1"/>
    <col min="25" max="16384" width="9.00390625" style="54" customWidth="1"/>
  </cols>
  <sheetData>
    <row r="1" spans="1:24" ht="19.5" customHeight="1">
      <c r="A1" s="812" t="s">
        <v>294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 t="s">
        <v>294</v>
      </c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</row>
    <row r="2" spans="1:24" ht="19.5" customHeight="1" thickBot="1">
      <c r="A2" s="119"/>
      <c r="B2" s="769" t="s">
        <v>295</v>
      </c>
      <c r="C2" s="769"/>
      <c r="D2" s="769"/>
      <c r="E2" s="769"/>
      <c r="F2" s="769"/>
      <c r="G2" s="769"/>
      <c r="H2" s="769"/>
      <c r="I2" s="769"/>
      <c r="J2" s="769"/>
      <c r="K2" s="769"/>
      <c r="L2" s="119"/>
      <c r="M2" s="119"/>
      <c r="N2" s="769" t="s">
        <v>296</v>
      </c>
      <c r="O2" s="769"/>
      <c r="P2" s="769"/>
      <c r="Q2" s="769"/>
      <c r="R2" s="769"/>
      <c r="S2" s="769"/>
      <c r="T2" s="769"/>
      <c r="U2" s="769"/>
      <c r="V2" s="769"/>
      <c r="W2" s="769"/>
      <c r="X2" s="119"/>
    </row>
    <row r="3" spans="2:23" ht="24" customHeight="1">
      <c r="B3" s="770" t="s">
        <v>223</v>
      </c>
      <c r="C3" s="771"/>
      <c r="D3" s="772"/>
      <c r="E3" s="772"/>
      <c r="F3" s="773"/>
      <c r="G3" s="774" t="s">
        <v>224</v>
      </c>
      <c r="H3" s="775"/>
      <c r="I3" s="776"/>
      <c r="J3" s="776"/>
      <c r="K3" s="777"/>
      <c r="N3" s="813" t="s">
        <v>223</v>
      </c>
      <c r="O3" s="814"/>
      <c r="P3" s="814"/>
      <c r="Q3" s="814"/>
      <c r="R3" s="815"/>
      <c r="S3" s="816" t="s">
        <v>277</v>
      </c>
      <c r="T3" s="817"/>
      <c r="U3" s="817"/>
      <c r="V3" s="817"/>
      <c r="W3" s="818"/>
    </row>
    <row r="4" spans="2:23" ht="24" customHeight="1">
      <c r="B4" s="752" t="s">
        <v>297</v>
      </c>
      <c r="C4" s="753"/>
      <c r="D4" s="754"/>
      <c r="E4" s="755"/>
      <c r="F4" s="756"/>
      <c r="G4" s="757" t="s">
        <v>115</v>
      </c>
      <c r="H4" s="758"/>
      <c r="I4" s="754"/>
      <c r="J4" s="755"/>
      <c r="K4" s="756"/>
      <c r="N4" s="759" t="s">
        <v>278</v>
      </c>
      <c r="O4" s="760"/>
      <c r="P4" s="754"/>
      <c r="Q4" s="755"/>
      <c r="R4" s="756"/>
      <c r="S4" s="761" t="s">
        <v>115</v>
      </c>
      <c r="T4" s="762"/>
      <c r="U4" s="754"/>
      <c r="V4" s="755"/>
      <c r="W4" s="756"/>
    </row>
    <row r="5" spans="2:23" ht="24" customHeight="1">
      <c r="B5" s="752" t="s">
        <v>226</v>
      </c>
      <c r="C5" s="753"/>
      <c r="D5" s="754"/>
      <c r="E5" s="755"/>
      <c r="F5" s="756"/>
      <c r="G5" s="757" t="s">
        <v>116</v>
      </c>
      <c r="H5" s="758"/>
      <c r="I5" s="754"/>
      <c r="J5" s="755"/>
      <c r="K5" s="756"/>
      <c r="N5" s="759" t="s">
        <v>226</v>
      </c>
      <c r="O5" s="760"/>
      <c r="P5" s="754"/>
      <c r="Q5" s="755"/>
      <c r="R5" s="756"/>
      <c r="S5" s="761" t="s">
        <v>116</v>
      </c>
      <c r="T5" s="762"/>
      <c r="U5" s="754"/>
      <c r="V5" s="755"/>
      <c r="W5" s="756"/>
    </row>
    <row r="6" spans="2:23" ht="24" customHeight="1">
      <c r="B6" s="767" t="s">
        <v>227</v>
      </c>
      <c r="C6" s="66" t="s">
        <v>228</v>
      </c>
      <c r="D6" s="754"/>
      <c r="E6" s="755"/>
      <c r="F6" s="756"/>
      <c r="G6" s="768" t="s">
        <v>117</v>
      </c>
      <c r="H6" s="67" t="s">
        <v>228</v>
      </c>
      <c r="I6" s="754"/>
      <c r="J6" s="755"/>
      <c r="K6" s="756"/>
      <c r="N6" s="763" t="s">
        <v>227</v>
      </c>
      <c r="O6" s="66" t="s">
        <v>228</v>
      </c>
      <c r="P6" s="754"/>
      <c r="Q6" s="755"/>
      <c r="R6" s="756"/>
      <c r="S6" s="765" t="s">
        <v>117</v>
      </c>
      <c r="T6" s="67" t="s">
        <v>228</v>
      </c>
      <c r="U6" s="754"/>
      <c r="V6" s="755"/>
      <c r="W6" s="756"/>
    </row>
    <row r="7" spans="2:23" ht="24" customHeight="1">
      <c r="B7" s="752"/>
      <c r="C7" s="66" t="s">
        <v>229</v>
      </c>
      <c r="D7" s="754"/>
      <c r="E7" s="755"/>
      <c r="F7" s="756"/>
      <c r="G7" s="757"/>
      <c r="H7" s="67" t="s">
        <v>119</v>
      </c>
      <c r="I7" s="754"/>
      <c r="J7" s="755"/>
      <c r="K7" s="756"/>
      <c r="N7" s="811"/>
      <c r="O7" s="66" t="s">
        <v>229</v>
      </c>
      <c r="P7" s="754"/>
      <c r="Q7" s="755"/>
      <c r="R7" s="756"/>
      <c r="S7" s="810"/>
      <c r="T7" s="67" t="s">
        <v>119</v>
      </c>
      <c r="U7" s="754"/>
      <c r="V7" s="755"/>
      <c r="W7" s="756"/>
    </row>
    <row r="8" spans="2:23" ht="24" customHeight="1">
      <c r="B8" s="752"/>
      <c r="C8" s="66" t="s">
        <v>230</v>
      </c>
      <c r="D8" s="754"/>
      <c r="E8" s="755"/>
      <c r="F8" s="756"/>
      <c r="G8" s="757"/>
      <c r="H8" s="67" t="s">
        <v>120</v>
      </c>
      <c r="I8" s="754"/>
      <c r="J8" s="755"/>
      <c r="K8" s="756"/>
      <c r="N8" s="764"/>
      <c r="O8" s="66" t="s">
        <v>230</v>
      </c>
      <c r="P8" s="754"/>
      <c r="Q8" s="755"/>
      <c r="R8" s="756"/>
      <c r="S8" s="766"/>
      <c r="T8" s="67" t="s">
        <v>120</v>
      </c>
      <c r="U8" s="754"/>
      <c r="V8" s="755"/>
      <c r="W8" s="756"/>
    </row>
    <row r="9" spans="2:23" ht="24" customHeight="1">
      <c r="B9" s="763" t="s">
        <v>231</v>
      </c>
      <c r="C9" s="66" t="s">
        <v>232</v>
      </c>
      <c r="D9" s="754"/>
      <c r="E9" s="755"/>
      <c r="F9" s="756"/>
      <c r="G9" s="765" t="s">
        <v>231</v>
      </c>
      <c r="H9" s="67" t="s">
        <v>232</v>
      </c>
      <c r="I9" s="754"/>
      <c r="J9" s="755"/>
      <c r="K9" s="756"/>
      <c r="N9" s="763" t="s">
        <v>231</v>
      </c>
      <c r="O9" s="66" t="s">
        <v>232</v>
      </c>
      <c r="P9" s="754"/>
      <c r="Q9" s="755"/>
      <c r="R9" s="756"/>
      <c r="S9" s="765" t="s">
        <v>231</v>
      </c>
      <c r="T9" s="67" t="s">
        <v>232</v>
      </c>
      <c r="U9" s="754"/>
      <c r="V9" s="755"/>
      <c r="W9" s="756"/>
    </row>
    <row r="10" spans="2:23" ht="24" customHeight="1">
      <c r="B10" s="764"/>
      <c r="C10" s="66" t="s">
        <v>233</v>
      </c>
      <c r="D10" s="754"/>
      <c r="E10" s="755"/>
      <c r="F10" s="756"/>
      <c r="G10" s="766"/>
      <c r="H10" s="67" t="s">
        <v>233</v>
      </c>
      <c r="I10" s="754"/>
      <c r="J10" s="755"/>
      <c r="K10" s="756"/>
      <c r="N10" s="764"/>
      <c r="O10" s="66" t="s">
        <v>233</v>
      </c>
      <c r="P10" s="754"/>
      <c r="Q10" s="755"/>
      <c r="R10" s="756"/>
      <c r="S10" s="766"/>
      <c r="T10" s="67" t="s">
        <v>233</v>
      </c>
      <c r="U10" s="754"/>
      <c r="V10" s="755"/>
      <c r="W10" s="756"/>
    </row>
    <row r="11" spans="2:23" ht="24" customHeight="1">
      <c r="B11" s="759" t="s">
        <v>234</v>
      </c>
      <c r="C11" s="760"/>
      <c r="D11" s="754"/>
      <c r="E11" s="755"/>
      <c r="F11" s="756"/>
      <c r="G11" s="761" t="s">
        <v>121</v>
      </c>
      <c r="H11" s="762"/>
      <c r="I11" s="754"/>
      <c r="J11" s="755"/>
      <c r="K11" s="756"/>
      <c r="N11" s="759" t="s">
        <v>234</v>
      </c>
      <c r="O11" s="760"/>
      <c r="P11" s="754"/>
      <c r="Q11" s="755"/>
      <c r="R11" s="756"/>
      <c r="S11" s="761" t="s">
        <v>121</v>
      </c>
      <c r="T11" s="762"/>
      <c r="U11" s="754"/>
      <c r="V11" s="755"/>
      <c r="W11" s="756"/>
    </row>
    <row r="12" spans="2:23" ht="24" customHeight="1">
      <c r="B12" s="752" t="s">
        <v>235</v>
      </c>
      <c r="C12" s="753"/>
      <c r="D12" s="754"/>
      <c r="E12" s="755"/>
      <c r="F12" s="756"/>
      <c r="G12" s="757" t="s">
        <v>122</v>
      </c>
      <c r="H12" s="758"/>
      <c r="I12" s="754"/>
      <c r="J12" s="755"/>
      <c r="K12" s="756"/>
      <c r="N12" s="759" t="s">
        <v>235</v>
      </c>
      <c r="O12" s="760"/>
      <c r="P12" s="754"/>
      <c r="Q12" s="755"/>
      <c r="R12" s="756"/>
      <c r="S12" s="761" t="s">
        <v>122</v>
      </c>
      <c r="T12" s="762"/>
      <c r="U12" s="754"/>
      <c r="V12" s="755"/>
      <c r="W12" s="756"/>
    </row>
    <row r="13" spans="2:23" ht="24" customHeight="1">
      <c r="B13" s="752" t="s">
        <v>236</v>
      </c>
      <c r="C13" s="753"/>
      <c r="D13" s="754"/>
      <c r="E13" s="755"/>
      <c r="F13" s="756"/>
      <c r="G13" s="757" t="s">
        <v>125</v>
      </c>
      <c r="H13" s="758"/>
      <c r="I13" s="754"/>
      <c r="J13" s="755"/>
      <c r="K13" s="756"/>
      <c r="N13" s="759" t="s">
        <v>236</v>
      </c>
      <c r="O13" s="760"/>
      <c r="P13" s="754"/>
      <c r="Q13" s="755"/>
      <c r="R13" s="756"/>
      <c r="S13" s="761" t="s">
        <v>125</v>
      </c>
      <c r="T13" s="762"/>
      <c r="U13" s="754"/>
      <c r="V13" s="755"/>
      <c r="W13" s="756"/>
    </row>
    <row r="14" ht="12" customHeight="1" thickBot="1"/>
    <row r="15" spans="2:23" ht="24" customHeight="1" thickBot="1">
      <c r="B15" s="712" t="s">
        <v>237</v>
      </c>
      <c r="C15" s="713"/>
      <c r="D15" s="713"/>
      <c r="E15" s="713"/>
      <c r="F15" s="714"/>
      <c r="G15" s="712" t="s">
        <v>238</v>
      </c>
      <c r="H15" s="713"/>
      <c r="I15" s="713"/>
      <c r="J15" s="713"/>
      <c r="K15" s="714"/>
      <c r="N15" s="712" t="s">
        <v>279</v>
      </c>
      <c r="O15" s="713"/>
      <c r="P15" s="713"/>
      <c r="Q15" s="713"/>
      <c r="R15" s="713"/>
      <c r="S15" s="713"/>
      <c r="T15" s="713"/>
      <c r="U15" s="713"/>
      <c r="V15" s="713"/>
      <c r="W15" s="714"/>
    </row>
    <row r="16" spans="2:23" ht="24" customHeight="1">
      <c r="B16" s="746" t="s">
        <v>239</v>
      </c>
      <c r="C16" s="747"/>
      <c r="D16" s="709" t="s">
        <v>90</v>
      </c>
      <c r="E16" s="710"/>
      <c r="F16" s="711"/>
      <c r="G16" s="715" t="s">
        <v>240</v>
      </c>
      <c r="H16" s="716"/>
      <c r="I16" s="709" t="s">
        <v>90</v>
      </c>
      <c r="J16" s="710"/>
      <c r="K16" s="711"/>
      <c r="N16" s="800" t="s">
        <v>280</v>
      </c>
      <c r="O16" s="101" t="s">
        <v>115</v>
      </c>
      <c r="P16" s="803"/>
      <c r="Q16" s="804"/>
      <c r="R16" s="805"/>
      <c r="S16" s="800" t="s">
        <v>281</v>
      </c>
      <c r="T16" s="101" t="s">
        <v>115</v>
      </c>
      <c r="U16" s="803"/>
      <c r="V16" s="804"/>
      <c r="W16" s="805"/>
    </row>
    <row r="17" spans="2:23" ht="24" customHeight="1">
      <c r="B17" s="748"/>
      <c r="C17" s="749"/>
      <c r="D17" s="702" t="s">
        <v>456</v>
      </c>
      <c r="E17" s="703"/>
      <c r="F17" s="704"/>
      <c r="G17" s="725" t="s">
        <v>241</v>
      </c>
      <c r="H17" s="726"/>
      <c r="I17" s="702"/>
      <c r="J17" s="703"/>
      <c r="K17" s="704"/>
      <c r="N17" s="801"/>
      <c r="O17" s="102" t="s">
        <v>116</v>
      </c>
      <c r="P17" s="729"/>
      <c r="Q17" s="730"/>
      <c r="R17" s="731"/>
      <c r="S17" s="801"/>
      <c r="T17" s="102" t="s">
        <v>116</v>
      </c>
      <c r="U17" s="729"/>
      <c r="V17" s="730"/>
      <c r="W17" s="731"/>
    </row>
    <row r="18" spans="2:23" ht="24" customHeight="1">
      <c r="B18" s="748"/>
      <c r="C18" s="749"/>
      <c r="D18" s="86" t="s">
        <v>298</v>
      </c>
      <c r="E18" s="723"/>
      <c r="F18" s="724"/>
      <c r="G18" s="738" t="s">
        <v>212</v>
      </c>
      <c r="H18" s="739"/>
      <c r="I18" s="740" t="s">
        <v>243</v>
      </c>
      <c r="J18" s="741"/>
      <c r="K18" s="742"/>
      <c r="N18" s="801"/>
      <c r="O18" s="102" t="s">
        <v>122</v>
      </c>
      <c r="P18" s="806"/>
      <c r="Q18" s="807"/>
      <c r="R18" s="808"/>
      <c r="S18" s="801"/>
      <c r="T18" s="102" t="s">
        <v>122</v>
      </c>
      <c r="U18" s="806"/>
      <c r="V18" s="807"/>
      <c r="W18" s="808"/>
    </row>
    <row r="19" spans="2:23" ht="24" customHeight="1" thickBot="1">
      <c r="B19" s="750"/>
      <c r="C19" s="751"/>
      <c r="D19" s="87" t="s">
        <v>299</v>
      </c>
      <c r="E19" s="735"/>
      <c r="F19" s="736"/>
      <c r="G19" s="727" t="s">
        <v>245</v>
      </c>
      <c r="H19" s="728"/>
      <c r="I19" s="702" t="s">
        <v>91</v>
      </c>
      <c r="J19" s="703"/>
      <c r="K19" s="704"/>
      <c r="N19" s="801"/>
      <c r="O19" s="102" t="s">
        <v>123</v>
      </c>
      <c r="P19" s="797"/>
      <c r="Q19" s="798"/>
      <c r="R19" s="799"/>
      <c r="S19" s="801"/>
      <c r="T19" s="102" t="s">
        <v>123</v>
      </c>
      <c r="U19" s="797"/>
      <c r="V19" s="798"/>
      <c r="W19" s="799"/>
    </row>
    <row r="20" spans="2:23" ht="24" customHeight="1">
      <c r="B20" s="707" t="s">
        <v>246</v>
      </c>
      <c r="C20" s="89" t="s">
        <v>300</v>
      </c>
      <c r="D20" s="88" t="s">
        <v>301</v>
      </c>
      <c r="E20" s="744"/>
      <c r="F20" s="745"/>
      <c r="G20" s="737"/>
      <c r="H20" s="701"/>
      <c r="I20" s="702" t="s">
        <v>249</v>
      </c>
      <c r="J20" s="703"/>
      <c r="K20" s="704"/>
      <c r="N20" s="801"/>
      <c r="O20" s="102" t="s">
        <v>284</v>
      </c>
      <c r="P20" s="729"/>
      <c r="Q20" s="730"/>
      <c r="R20" s="731"/>
      <c r="S20" s="801"/>
      <c r="T20" s="102" t="s">
        <v>284</v>
      </c>
      <c r="U20" s="729"/>
      <c r="V20" s="730"/>
      <c r="W20" s="731"/>
    </row>
    <row r="21" spans="2:23" ht="24" customHeight="1">
      <c r="B21" s="743"/>
      <c r="C21" s="90" t="s">
        <v>302</v>
      </c>
      <c r="D21" s="86" t="s">
        <v>301</v>
      </c>
      <c r="E21" s="723"/>
      <c r="F21" s="724"/>
      <c r="G21" s="737"/>
      <c r="H21" s="701"/>
      <c r="I21" s="702" t="s">
        <v>251</v>
      </c>
      <c r="J21" s="703"/>
      <c r="K21" s="704"/>
      <c r="N21" s="801"/>
      <c r="O21" s="102" t="s">
        <v>285</v>
      </c>
      <c r="P21" s="729"/>
      <c r="Q21" s="730"/>
      <c r="R21" s="731"/>
      <c r="S21" s="801"/>
      <c r="T21" s="102" t="s">
        <v>285</v>
      </c>
      <c r="U21" s="729"/>
      <c r="V21" s="730"/>
      <c r="W21" s="731"/>
    </row>
    <row r="22" spans="2:23" ht="24" customHeight="1">
      <c r="B22" s="743"/>
      <c r="C22" s="90" t="s">
        <v>303</v>
      </c>
      <c r="D22" s="86" t="s">
        <v>301</v>
      </c>
      <c r="E22" s="723"/>
      <c r="F22" s="724"/>
      <c r="G22" s="738"/>
      <c r="H22" s="739"/>
      <c r="I22" s="705" t="s">
        <v>288</v>
      </c>
      <c r="J22" s="706"/>
      <c r="K22" s="95" t="s">
        <v>254</v>
      </c>
      <c r="N22" s="801"/>
      <c r="O22" s="102" t="s">
        <v>286</v>
      </c>
      <c r="P22" s="86" t="s">
        <v>304</v>
      </c>
      <c r="Q22" s="795" t="s">
        <v>270</v>
      </c>
      <c r="R22" s="796"/>
      <c r="S22" s="801"/>
      <c r="T22" s="102" t="s">
        <v>286</v>
      </c>
      <c r="U22" s="86" t="s">
        <v>304</v>
      </c>
      <c r="V22" s="795" t="s">
        <v>270</v>
      </c>
      <c r="W22" s="796"/>
    </row>
    <row r="23" spans="2:23" ht="24" customHeight="1">
      <c r="B23" s="743"/>
      <c r="C23" s="90" t="s">
        <v>255</v>
      </c>
      <c r="D23" s="86" t="s">
        <v>256</v>
      </c>
      <c r="E23" s="723"/>
      <c r="F23" s="724"/>
      <c r="G23" s="727" t="s">
        <v>257</v>
      </c>
      <c r="H23" s="728"/>
      <c r="I23" s="96" t="s">
        <v>258</v>
      </c>
      <c r="J23" s="702"/>
      <c r="K23" s="704"/>
      <c r="N23" s="801"/>
      <c r="O23" s="102" t="s">
        <v>289</v>
      </c>
      <c r="P23" s="702" t="s">
        <v>251</v>
      </c>
      <c r="Q23" s="703"/>
      <c r="R23" s="704"/>
      <c r="S23" s="801"/>
      <c r="T23" s="102" t="s">
        <v>289</v>
      </c>
      <c r="U23" s="702" t="s">
        <v>251</v>
      </c>
      <c r="V23" s="703"/>
      <c r="W23" s="704"/>
    </row>
    <row r="24" spans="2:23" ht="24" customHeight="1">
      <c r="B24" s="743"/>
      <c r="C24" s="90"/>
      <c r="D24" s="86" t="s">
        <v>256</v>
      </c>
      <c r="E24" s="723"/>
      <c r="F24" s="724"/>
      <c r="G24" s="737"/>
      <c r="H24" s="701"/>
      <c r="I24" s="96" t="s">
        <v>259</v>
      </c>
      <c r="J24" s="702"/>
      <c r="K24" s="704"/>
      <c r="N24" s="801"/>
      <c r="O24" s="102" t="s">
        <v>305</v>
      </c>
      <c r="P24" s="702"/>
      <c r="Q24" s="703"/>
      <c r="R24" s="704"/>
      <c r="S24" s="801"/>
      <c r="T24" s="102" t="s">
        <v>305</v>
      </c>
      <c r="U24" s="702"/>
      <c r="V24" s="703"/>
      <c r="W24" s="704"/>
    </row>
    <row r="25" spans="2:23" ht="24" customHeight="1">
      <c r="B25" s="743"/>
      <c r="C25" s="90"/>
      <c r="D25" s="86" t="s">
        <v>256</v>
      </c>
      <c r="E25" s="723"/>
      <c r="F25" s="724"/>
      <c r="G25" s="737"/>
      <c r="H25" s="701"/>
      <c r="I25" s="96" t="s">
        <v>260</v>
      </c>
      <c r="J25" s="702" t="s">
        <v>344</v>
      </c>
      <c r="K25" s="704"/>
      <c r="N25" s="801"/>
      <c r="O25" s="94"/>
      <c r="P25" s="790"/>
      <c r="Q25" s="695"/>
      <c r="R25" s="791"/>
      <c r="S25" s="801"/>
      <c r="T25" s="94"/>
      <c r="U25" s="790"/>
      <c r="V25" s="695"/>
      <c r="W25" s="791"/>
    </row>
    <row r="26" spans="2:23" ht="24" customHeight="1">
      <c r="B26" s="743"/>
      <c r="C26" s="90"/>
      <c r="D26" s="86" t="s">
        <v>256</v>
      </c>
      <c r="E26" s="723"/>
      <c r="F26" s="724"/>
      <c r="G26" s="737"/>
      <c r="H26" s="701"/>
      <c r="I26" s="96" t="s">
        <v>261</v>
      </c>
      <c r="J26" s="702"/>
      <c r="K26" s="704"/>
      <c r="N26" s="801"/>
      <c r="O26" s="94" t="s">
        <v>241</v>
      </c>
      <c r="P26" s="792"/>
      <c r="Q26" s="793"/>
      <c r="R26" s="794"/>
      <c r="S26" s="801"/>
      <c r="T26" s="102" t="s">
        <v>241</v>
      </c>
      <c r="U26" s="792"/>
      <c r="V26" s="793"/>
      <c r="W26" s="794"/>
    </row>
    <row r="27" spans="2:23" ht="24" customHeight="1" thickBot="1">
      <c r="B27" s="743"/>
      <c r="C27" s="91"/>
      <c r="D27" s="86" t="s">
        <v>256</v>
      </c>
      <c r="E27" s="723"/>
      <c r="F27" s="724"/>
      <c r="G27" s="738"/>
      <c r="H27" s="739"/>
      <c r="I27" s="97" t="s">
        <v>262</v>
      </c>
      <c r="J27" s="702"/>
      <c r="K27" s="704"/>
      <c r="N27" s="801"/>
      <c r="O27" s="787" t="s">
        <v>306</v>
      </c>
      <c r="P27" s="96" t="s">
        <v>258</v>
      </c>
      <c r="Q27" s="702"/>
      <c r="R27" s="704"/>
      <c r="S27" s="801"/>
      <c r="T27" s="787" t="s">
        <v>306</v>
      </c>
      <c r="U27" s="96" t="s">
        <v>258</v>
      </c>
      <c r="V27" s="702"/>
      <c r="W27" s="704"/>
    </row>
    <row r="28" spans="2:23" ht="24" customHeight="1" thickBot="1">
      <c r="B28" s="707" t="s">
        <v>263</v>
      </c>
      <c r="C28" s="92" t="s">
        <v>264</v>
      </c>
      <c r="D28" s="709" t="s">
        <v>90</v>
      </c>
      <c r="E28" s="710"/>
      <c r="F28" s="711"/>
      <c r="G28" s="712" t="s">
        <v>265</v>
      </c>
      <c r="H28" s="713"/>
      <c r="I28" s="713"/>
      <c r="J28" s="713"/>
      <c r="K28" s="714"/>
      <c r="N28" s="801"/>
      <c r="O28" s="788"/>
      <c r="P28" s="96" t="s">
        <v>259</v>
      </c>
      <c r="Q28" s="702"/>
      <c r="R28" s="704"/>
      <c r="S28" s="801"/>
      <c r="T28" s="788"/>
      <c r="U28" s="96" t="s">
        <v>259</v>
      </c>
      <c r="V28" s="702"/>
      <c r="W28" s="704"/>
    </row>
    <row r="29" spans="2:23" ht="24" customHeight="1">
      <c r="B29" s="708"/>
      <c r="C29" s="93" t="s">
        <v>266</v>
      </c>
      <c r="D29" s="702"/>
      <c r="E29" s="703"/>
      <c r="F29" s="704"/>
      <c r="G29" s="715" t="s">
        <v>241</v>
      </c>
      <c r="H29" s="716"/>
      <c r="I29" s="709"/>
      <c r="J29" s="710"/>
      <c r="K29" s="711"/>
      <c r="N29" s="801"/>
      <c r="O29" s="788"/>
      <c r="P29" s="96" t="s">
        <v>260</v>
      </c>
      <c r="Q29" s="702" t="s">
        <v>344</v>
      </c>
      <c r="R29" s="704"/>
      <c r="S29" s="801"/>
      <c r="T29" s="788"/>
      <c r="U29" s="96" t="s">
        <v>260</v>
      </c>
      <c r="V29" s="702" t="s">
        <v>344</v>
      </c>
      <c r="W29" s="704"/>
    </row>
    <row r="30" spans="2:23" ht="24" customHeight="1">
      <c r="B30" s="708"/>
      <c r="C30" s="93" t="s">
        <v>267</v>
      </c>
      <c r="D30" s="740" t="s">
        <v>243</v>
      </c>
      <c r="E30" s="741"/>
      <c r="F30" s="742"/>
      <c r="G30" s="725" t="s">
        <v>268</v>
      </c>
      <c r="H30" s="726"/>
      <c r="I30" s="702" t="s">
        <v>249</v>
      </c>
      <c r="J30" s="703"/>
      <c r="K30" s="704"/>
      <c r="N30" s="801"/>
      <c r="O30" s="788"/>
      <c r="P30" s="96" t="s">
        <v>261</v>
      </c>
      <c r="Q30" s="702"/>
      <c r="R30" s="704"/>
      <c r="S30" s="801"/>
      <c r="T30" s="788"/>
      <c r="U30" s="96" t="s">
        <v>261</v>
      </c>
      <c r="V30" s="702"/>
      <c r="W30" s="704"/>
    </row>
    <row r="31" spans="2:23" ht="24" customHeight="1">
      <c r="B31" s="708"/>
      <c r="C31" s="700" t="s">
        <v>269</v>
      </c>
      <c r="D31" s="702" t="s">
        <v>91</v>
      </c>
      <c r="E31" s="703"/>
      <c r="F31" s="704"/>
      <c r="G31" s="725"/>
      <c r="H31" s="726"/>
      <c r="I31" s="702" t="s">
        <v>251</v>
      </c>
      <c r="J31" s="703"/>
      <c r="K31" s="704"/>
      <c r="N31" s="801"/>
      <c r="O31" s="789"/>
      <c r="P31" s="99" t="s">
        <v>262</v>
      </c>
      <c r="Q31" s="702"/>
      <c r="R31" s="704"/>
      <c r="S31" s="801"/>
      <c r="T31" s="789"/>
      <c r="U31" s="99" t="s">
        <v>262</v>
      </c>
      <c r="V31" s="702"/>
      <c r="W31" s="704"/>
    </row>
    <row r="32" spans="2:23" ht="24" customHeight="1">
      <c r="B32" s="708"/>
      <c r="C32" s="701"/>
      <c r="D32" s="702" t="s">
        <v>249</v>
      </c>
      <c r="E32" s="703"/>
      <c r="F32" s="704"/>
      <c r="G32" s="725"/>
      <c r="H32" s="726"/>
      <c r="I32" s="705" t="s">
        <v>270</v>
      </c>
      <c r="J32" s="706"/>
      <c r="K32" s="95" t="s">
        <v>254</v>
      </c>
      <c r="N32" s="801"/>
      <c r="O32" s="809" t="s">
        <v>307</v>
      </c>
      <c r="P32" s="85" t="s">
        <v>287</v>
      </c>
      <c r="Q32" s="785" t="s">
        <v>293</v>
      </c>
      <c r="R32" s="786"/>
      <c r="S32" s="801"/>
      <c r="T32" s="809" t="s">
        <v>307</v>
      </c>
      <c r="U32" s="85" t="s">
        <v>287</v>
      </c>
      <c r="V32" s="785" t="s">
        <v>293</v>
      </c>
      <c r="W32" s="786"/>
    </row>
    <row r="33" spans="2:23" ht="24" customHeight="1">
      <c r="B33" s="708"/>
      <c r="C33" s="701"/>
      <c r="D33" s="702" t="s">
        <v>251</v>
      </c>
      <c r="E33" s="703"/>
      <c r="F33" s="704"/>
      <c r="G33" s="725" t="s">
        <v>271</v>
      </c>
      <c r="H33" s="726"/>
      <c r="I33" s="729"/>
      <c r="J33" s="730"/>
      <c r="K33" s="731"/>
      <c r="N33" s="801"/>
      <c r="O33" s="809"/>
      <c r="P33" s="64" t="s">
        <v>342</v>
      </c>
      <c r="Q33" s="702" t="s">
        <v>90</v>
      </c>
      <c r="R33" s="704"/>
      <c r="S33" s="801"/>
      <c r="T33" s="809"/>
      <c r="U33" s="64" t="s">
        <v>342</v>
      </c>
      <c r="V33" s="702" t="s">
        <v>90</v>
      </c>
      <c r="W33" s="704"/>
    </row>
    <row r="34" spans="2:23" ht="24" customHeight="1" thickBot="1">
      <c r="B34" s="708"/>
      <c r="C34" s="701"/>
      <c r="D34" s="705" t="s">
        <v>270</v>
      </c>
      <c r="E34" s="706"/>
      <c r="F34" s="100" t="s">
        <v>254</v>
      </c>
      <c r="G34" s="727"/>
      <c r="H34" s="728"/>
      <c r="I34" s="732"/>
      <c r="J34" s="733"/>
      <c r="K34" s="734"/>
      <c r="N34" s="801"/>
      <c r="O34" s="809"/>
      <c r="P34" s="64"/>
      <c r="Q34" s="702" t="s">
        <v>90</v>
      </c>
      <c r="R34" s="704"/>
      <c r="S34" s="801"/>
      <c r="T34" s="809"/>
      <c r="U34" s="64"/>
      <c r="V34" s="702" t="s">
        <v>90</v>
      </c>
      <c r="W34" s="704"/>
    </row>
    <row r="35" spans="2:23" ht="24" customHeight="1" thickBot="1">
      <c r="B35" s="717" t="s">
        <v>272</v>
      </c>
      <c r="C35" s="718"/>
      <c r="D35" s="98" t="s">
        <v>273</v>
      </c>
      <c r="E35" s="719"/>
      <c r="F35" s="719"/>
      <c r="G35" s="720" t="s">
        <v>274</v>
      </c>
      <c r="H35" s="721"/>
      <c r="I35" s="719"/>
      <c r="J35" s="719"/>
      <c r="K35" s="722"/>
      <c r="N35" s="802"/>
      <c r="O35" s="783" t="s">
        <v>345</v>
      </c>
      <c r="P35" s="784"/>
      <c r="Q35" s="781" t="s">
        <v>346</v>
      </c>
      <c r="R35" s="782"/>
      <c r="S35" s="802"/>
      <c r="T35" s="783" t="s">
        <v>345</v>
      </c>
      <c r="U35" s="784"/>
      <c r="V35" s="781" t="s">
        <v>346</v>
      </c>
      <c r="W35" s="782"/>
    </row>
    <row r="36" ht="12" customHeight="1"/>
    <row r="37" spans="2:23" ht="24" customHeight="1">
      <c r="B37" s="697" t="s">
        <v>126</v>
      </c>
      <c r="C37" s="698"/>
      <c r="D37" s="698"/>
      <c r="E37" s="698"/>
      <c r="F37" s="698"/>
      <c r="G37" s="698"/>
      <c r="H37" s="698"/>
      <c r="I37" s="698"/>
      <c r="J37" s="698"/>
      <c r="K37" s="699"/>
      <c r="N37" s="697" t="s">
        <v>126</v>
      </c>
      <c r="O37" s="698"/>
      <c r="P37" s="698"/>
      <c r="Q37" s="698"/>
      <c r="R37" s="698"/>
      <c r="S37" s="698"/>
      <c r="T37" s="698"/>
      <c r="U37" s="698"/>
      <c r="V37" s="698"/>
      <c r="W37" s="699"/>
    </row>
    <row r="38" spans="2:23" ht="24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N38" s="68"/>
      <c r="O38" s="69"/>
      <c r="P38" s="69"/>
      <c r="Q38" s="69"/>
      <c r="R38" s="69"/>
      <c r="S38" s="69"/>
      <c r="T38" s="69"/>
      <c r="U38" s="69"/>
      <c r="V38" s="69"/>
      <c r="W38" s="70"/>
    </row>
    <row r="39" spans="2:23" ht="24" customHeight="1">
      <c r="B39" s="71"/>
      <c r="C39" s="72"/>
      <c r="D39" s="72"/>
      <c r="E39" s="72"/>
      <c r="F39" s="72"/>
      <c r="G39" s="72"/>
      <c r="H39" s="72"/>
      <c r="I39" s="72"/>
      <c r="J39" s="72"/>
      <c r="K39" s="73"/>
      <c r="N39" s="71"/>
      <c r="O39" s="72"/>
      <c r="P39" s="72"/>
      <c r="Q39" s="72"/>
      <c r="R39" s="72"/>
      <c r="S39" s="72"/>
      <c r="T39" s="72"/>
      <c r="U39" s="72"/>
      <c r="V39" s="72"/>
      <c r="W39" s="7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5.75" customHeight="1"/>
    <row r="56" ht="15.75" customHeight="1"/>
    <row r="57" ht="15.75" customHeight="1"/>
  </sheetData>
  <sheetProtection/>
  <mergeCells count="182">
    <mergeCell ref="A1:L1"/>
    <mergeCell ref="M1:X1"/>
    <mergeCell ref="B2:K2"/>
    <mergeCell ref="N2:W2"/>
    <mergeCell ref="B3:F3"/>
    <mergeCell ref="G3:K3"/>
    <mergeCell ref="N3:R3"/>
    <mergeCell ref="S3:W3"/>
    <mergeCell ref="B4:C4"/>
    <mergeCell ref="D4:F4"/>
    <mergeCell ref="G4:H4"/>
    <mergeCell ref="I4:K4"/>
    <mergeCell ref="N4:O4"/>
    <mergeCell ref="P4:R4"/>
    <mergeCell ref="S4:T4"/>
    <mergeCell ref="U4:W4"/>
    <mergeCell ref="B5:C5"/>
    <mergeCell ref="D5:F5"/>
    <mergeCell ref="G5:H5"/>
    <mergeCell ref="I5:K5"/>
    <mergeCell ref="N5:O5"/>
    <mergeCell ref="P5:R5"/>
    <mergeCell ref="S5:T5"/>
    <mergeCell ref="U5:W5"/>
    <mergeCell ref="B6:B8"/>
    <mergeCell ref="D6:F6"/>
    <mergeCell ref="G6:G8"/>
    <mergeCell ref="I6:K6"/>
    <mergeCell ref="N6:N8"/>
    <mergeCell ref="P6:R6"/>
    <mergeCell ref="S6:S8"/>
    <mergeCell ref="U6:W6"/>
    <mergeCell ref="D7:F7"/>
    <mergeCell ref="I7:K7"/>
    <mergeCell ref="P7:R7"/>
    <mergeCell ref="U7:W7"/>
    <mergeCell ref="D8:F8"/>
    <mergeCell ref="I8:K8"/>
    <mergeCell ref="P8:R8"/>
    <mergeCell ref="U8:W8"/>
    <mergeCell ref="B9:B10"/>
    <mergeCell ref="D9:F9"/>
    <mergeCell ref="G9:G10"/>
    <mergeCell ref="I9:K9"/>
    <mergeCell ref="N9:N10"/>
    <mergeCell ref="P9:R9"/>
    <mergeCell ref="S9:S10"/>
    <mergeCell ref="U9:W9"/>
    <mergeCell ref="D10:F10"/>
    <mergeCell ref="I10:K10"/>
    <mergeCell ref="P10:R10"/>
    <mergeCell ref="U10:W10"/>
    <mergeCell ref="B11:C11"/>
    <mergeCell ref="D11:F11"/>
    <mergeCell ref="G11:H11"/>
    <mergeCell ref="I11:K11"/>
    <mergeCell ref="N11:O11"/>
    <mergeCell ref="P11:R11"/>
    <mergeCell ref="S11:T11"/>
    <mergeCell ref="U11:W11"/>
    <mergeCell ref="B12:C12"/>
    <mergeCell ref="D12:F12"/>
    <mergeCell ref="G12:H12"/>
    <mergeCell ref="I12:K12"/>
    <mergeCell ref="N12:O12"/>
    <mergeCell ref="P12:R12"/>
    <mergeCell ref="S12:T12"/>
    <mergeCell ref="U12:W12"/>
    <mergeCell ref="B13:C13"/>
    <mergeCell ref="D13:F13"/>
    <mergeCell ref="G13:H13"/>
    <mergeCell ref="I13:K13"/>
    <mergeCell ref="N13:O13"/>
    <mergeCell ref="P13:R13"/>
    <mergeCell ref="S13:T13"/>
    <mergeCell ref="U13:W13"/>
    <mergeCell ref="B15:F15"/>
    <mergeCell ref="G15:K15"/>
    <mergeCell ref="N15:W15"/>
    <mergeCell ref="B16:C19"/>
    <mergeCell ref="D16:F16"/>
    <mergeCell ref="G16:H16"/>
    <mergeCell ref="I16:K16"/>
    <mergeCell ref="N16:N35"/>
    <mergeCell ref="P16:R16"/>
    <mergeCell ref="S16:S35"/>
    <mergeCell ref="U16:W16"/>
    <mergeCell ref="D17:F17"/>
    <mergeCell ref="G17:H17"/>
    <mergeCell ref="I17:K17"/>
    <mergeCell ref="P17:R17"/>
    <mergeCell ref="U17:W17"/>
    <mergeCell ref="E18:F18"/>
    <mergeCell ref="G18:H18"/>
    <mergeCell ref="I18:K18"/>
    <mergeCell ref="P18:R18"/>
    <mergeCell ref="U18:W18"/>
    <mergeCell ref="E19:F19"/>
    <mergeCell ref="G19:H22"/>
    <mergeCell ref="I19:K19"/>
    <mergeCell ref="P19:R19"/>
    <mergeCell ref="U19:W19"/>
    <mergeCell ref="I22:J22"/>
    <mergeCell ref="Q22:R22"/>
    <mergeCell ref="B20:B27"/>
    <mergeCell ref="E20:F20"/>
    <mergeCell ref="I20:K20"/>
    <mergeCell ref="P20:R20"/>
    <mergeCell ref="U20:W20"/>
    <mergeCell ref="E21:F21"/>
    <mergeCell ref="I21:K21"/>
    <mergeCell ref="P21:R21"/>
    <mergeCell ref="U21:W21"/>
    <mergeCell ref="E22:F22"/>
    <mergeCell ref="V22:W22"/>
    <mergeCell ref="E23:F23"/>
    <mergeCell ref="G23:H27"/>
    <mergeCell ref="J23:K23"/>
    <mergeCell ref="P23:R23"/>
    <mergeCell ref="U23:W23"/>
    <mergeCell ref="E24:F24"/>
    <mergeCell ref="J24:K24"/>
    <mergeCell ref="P24:R24"/>
    <mergeCell ref="U24:W24"/>
    <mergeCell ref="E25:F25"/>
    <mergeCell ref="J25:K25"/>
    <mergeCell ref="P25:R25"/>
    <mergeCell ref="U25:W25"/>
    <mergeCell ref="E26:F26"/>
    <mergeCell ref="J26:K26"/>
    <mergeCell ref="P26:R26"/>
    <mergeCell ref="U26:W26"/>
    <mergeCell ref="E27:F27"/>
    <mergeCell ref="J27:K27"/>
    <mergeCell ref="O27:O31"/>
    <mergeCell ref="Q27:R27"/>
    <mergeCell ref="T27:T31"/>
    <mergeCell ref="V27:W27"/>
    <mergeCell ref="D30:F30"/>
    <mergeCell ref="G30:H32"/>
    <mergeCell ref="I30:K30"/>
    <mergeCell ref="Q30:R30"/>
    <mergeCell ref="B28:B34"/>
    <mergeCell ref="D28:F28"/>
    <mergeCell ref="G28:K28"/>
    <mergeCell ref="Q28:R28"/>
    <mergeCell ref="V28:W28"/>
    <mergeCell ref="D29:F29"/>
    <mergeCell ref="G29:H29"/>
    <mergeCell ref="I29:K29"/>
    <mergeCell ref="Q29:R29"/>
    <mergeCell ref="V29:W29"/>
    <mergeCell ref="V30:W30"/>
    <mergeCell ref="C31:C34"/>
    <mergeCell ref="D31:F31"/>
    <mergeCell ref="I31:K31"/>
    <mergeCell ref="Q31:R31"/>
    <mergeCell ref="V31:W31"/>
    <mergeCell ref="D32:F32"/>
    <mergeCell ref="I32:J32"/>
    <mergeCell ref="Q32:R32"/>
    <mergeCell ref="V32:W32"/>
    <mergeCell ref="D33:F33"/>
    <mergeCell ref="G33:H34"/>
    <mergeCell ref="I33:K34"/>
    <mergeCell ref="Q33:R33"/>
    <mergeCell ref="V33:W33"/>
    <mergeCell ref="D34:E34"/>
    <mergeCell ref="Q34:R34"/>
    <mergeCell ref="V34:W34"/>
    <mergeCell ref="O32:O34"/>
    <mergeCell ref="T32:T34"/>
    <mergeCell ref="B37:K37"/>
    <mergeCell ref="N37:W37"/>
    <mergeCell ref="B35:C35"/>
    <mergeCell ref="E35:F35"/>
    <mergeCell ref="G35:H35"/>
    <mergeCell ref="I35:K35"/>
    <mergeCell ref="Q35:R35"/>
    <mergeCell ref="V35:W35"/>
    <mergeCell ref="O35:P35"/>
    <mergeCell ref="T35:U35"/>
  </mergeCells>
  <dataValidations count="4">
    <dataValidation allowBlank="1" showInputMessage="1" showErrorMessage="1" imeMode="on" sqref="C13:E13 H13:J13 O13:Q13 T13:V13"/>
    <dataValidation allowBlank="1" showInputMessage="1" showErrorMessage="1" imeMode="off" sqref="I18:J18 D30:E30 P22 U22"/>
    <dataValidation type="list" allowBlank="1" showInputMessage="1" showErrorMessage="1" sqref="D16:E16 I16:J16 D28:E28 Q33:R34 V33:W34">
      <formula1>"有り・無し,有り,無し"</formula1>
    </dataValidation>
    <dataValidation type="list" allowBlank="1" showInputMessage="1" showErrorMessage="1" sqref="I19:J19 D31:E31">
      <formula1>"一括・分割,一括,分割"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&amp;L&amp;"TBP丸ｺﾞｼｯｸDE,太字"&amp;12離婚協議書・公正証書　必要事項記入シート&amp;R&amp;"ＭＳ Ｐゴシック,太字"&amp;12行政書士　東京中央法務オフィス</oddHeader>
    <oddFooter>&amp;Cメール：kotake@e-gyoseishoshi.com&amp;RFAX：03-6268-9018</oddFooter>
  </headerFooter>
  <colBreaks count="1" manualBreakCount="1">
    <brk id="12" max="3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5"/>
  <sheetViews>
    <sheetView zoomScalePageLayoutView="0" workbookViewId="0" topLeftCell="A1">
      <selection activeCell="C7" sqref="C7:J7"/>
    </sheetView>
  </sheetViews>
  <sheetFormatPr defaultColWidth="9.140625" defaultRowHeight="15"/>
  <cols>
    <col min="1" max="1" width="3.57421875" style="103" customWidth="1"/>
    <col min="2" max="2" width="5.28125" style="103" bestFit="1" customWidth="1"/>
    <col min="3" max="16" width="3.57421875" style="103" customWidth="1"/>
    <col min="17" max="17" width="4.7109375" style="103" bestFit="1" customWidth="1"/>
    <col min="18" max="26" width="3.57421875" style="103" customWidth="1"/>
    <col min="27" max="27" width="4.8515625" style="103" bestFit="1" customWidth="1"/>
    <col min="28" max="31" width="3.57421875" style="103" customWidth="1"/>
    <col min="32" max="16384" width="9.00390625" style="103" customWidth="1"/>
  </cols>
  <sheetData>
    <row r="1" spans="2:29" ht="13.5">
      <c r="B1" s="971" t="s">
        <v>168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AC1" s="104" t="s">
        <v>169</v>
      </c>
    </row>
    <row r="2" spans="2:24" ht="13.5">
      <c r="B2" s="971" t="s">
        <v>308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</row>
    <row r="4" spans="2:31" ht="18.75">
      <c r="B4" s="825" t="s">
        <v>310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105"/>
      <c r="Z4" s="105"/>
      <c r="AA4" s="105"/>
      <c r="AB4" s="105"/>
      <c r="AC4" s="105"/>
      <c r="AD4" s="105"/>
      <c r="AE4" s="105"/>
    </row>
    <row r="5" spans="1:24" ht="18" customHeight="1">
      <c r="A5" s="103">
        <v>1</v>
      </c>
      <c r="B5" s="849" t="s">
        <v>171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93" t="s">
        <v>172</v>
      </c>
      <c r="V5" s="893"/>
      <c r="W5" s="893"/>
      <c r="X5" s="893"/>
    </row>
    <row r="6" spans="2:29" ht="18" customHeight="1">
      <c r="B6" s="106" t="s">
        <v>173</v>
      </c>
      <c r="C6" s="894" t="s">
        <v>174</v>
      </c>
      <c r="D6" s="911"/>
      <c r="E6" s="911"/>
      <c r="F6" s="911"/>
      <c r="G6" s="911"/>
      <c r="H6" s="911"/>
      <c r="I6" s="911"/>
      <c r="J6" s="912"/>
      <c r="K6" s="863" t="s">
        <v>175</v>
      </c>
      <c r="L6" s="856"/>
      <c r="M6" s="949"/>
      <c r="N6" s="972" t="s">
        <v>176</v>
      </c>
      <c r="O6" s="973"/>
      <c r="P6" s="974"/>
      <c r="Q6" s="863" t="s">
        <v>177</v>
      </c>
      <c r="R6" s="864"/>
      <c r="S6" s="856"/>
      <c r="T6" s="949"/>
      <c r="U6" s="875" t="s">
        <v>178</v>
      </c>
      <c r="V6" s="911"/>
      <c r="W6" s="911"/>
      <c r="X6" s="951"/>
      <c r="Y6" s="875" t="s">
        <v>179</v>
      </c>
      <c r="Z6" s="875"/>
      <c r="AA6" s="911"/>
      <c r="AB6" s="911"/>
      <c r="AC6" s="951"/>
    </row>
    <row r="7" spans="2:29" ht="18" customHeight="1">
      <c r="B7" s="107">
        <v>1</v>
      </c>
      <c r="C7" s="963"/>
      <c r="D7" s="874"/>
      <c r="E7" s="874"/>
      <c r="F7" s="874"/>
      <c r="G7" s="874"/>
      <c r="H7" s="874"/>
      <c r="I7" s="874"/>
      <c r="J7" s="943"/>
      <c r="K7" s="873"/>
      <c r="L7" s="874"/>
      <c r="M7" s="943"/>
      <c r="N7" s="873"/>
      <c r="O7" s="874"/>
      <c r="P7" s="943"/>
      <c r="Q7" s="964"/>
      <c r="R7" s="933"/>
      <c r="S7" s="965"/>
      <c r="T7" s="966"/>
      <c r="U7" s="961"/>
      <c r="V7" s="961"/>
      <c r="W7" s="961"/>
      <c r="X7" s="962"/>
      <c r="Y7" s="922"/>
      <c r="Z7" s="923"/>
      <c r="AA7" s="108" t="s">
        <v>180</v>
      </c>
      <c r="AB7" s="923"/>
      <c r="AC7" s="924"/>
    </row>
    <row r="8" spans="2:29" ht="18" customHeight="1">
      <c r="B8" s="107">
        <v>2</v>
      </c>
      <c r="C8" s="952"/>
      <c r="D8" s="953"/>
      <c r="E8" s="953"/>
      <c r="F8" s="953"/>
      <c r="G8" s="953"/>
      <c r="H8" s="953"/>
      <c r="I8" s="953"/>
      <c r="J8" s="954"/>
      <c r="K8" s="955"/>
      <c r="L8" s="953"/>
      <c r="M8" s="954"/>
      <c r="N8" s="956"/>
      <c r="O8" s="953"/>
      <c r="P8" s="954"/>
      <c r="Q8" s="967"/>
      <c r="R8" s="968"/>
      <c r="S8" s="969"/>
      <c r="T8" s="970"/>
      <c r="U8" s="961"/>
      <c r="V8" s="961"/>
      <c r="W8" s="961"/>
      <c r="X8" s="962"/>
      <c r="Y8" s="922"/>
      <c r="Z8" s="923"/>
      <c r="AA8" s="108" t="s">
        <v>180</v>
      </c>
      <c r="AB8" s="923"/>
      <c r="AC8" s="924"/>
    </row>
    <row r="9" spans="2:29" ht="18" customHeight="1">
      <c r="B9" s="107">
        <v>3</v>
      </c>
      <c r="C9" s="952"/>
      <c r="D9" s="953"/>
      <c r="E9" s="953"/>
      <c r="F9" s="953"/>
      <c r="G9" s="953"/>
      <c r="H9" s="953"/>
      <c r="I9" s="953"/>
      <c r="J9" s="954"/>
      <c r="K9" s="955"/>
      <c r="L9" s="953"/>
      <c r="M9" s="954"/>
      <c r="N9" s="956"/>
      <c r="O9" s="953"/>
      <c r="P9" s="954"/>
      <c r="Q9" s="957"/>
      <c r="R9" s="958"/>
      <c r="S9" s="959"/>
      <c r="T9" s="960"/>
      <c r="U9" s="961"/>
      <c r="V9" s="961"/>
      <c r="W9" s="961"/>
      <c r="X9" s="962"/>
      <c r="Y9" s="922"/>
      <c r="Z9" s="923"/>
      <c r="AA9" s="108" t="s">
        <v>180</v>
      </c>
      <c r="AB9" s="923"/>
      <c r="AC9" s="924"/>
    </row>
    <row r="10" spans="3:24" ht="18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09"/>
      <c r="Q10" s="840" t="s">
        <v>181</v>
      </c>
      <c r="R10" s="841"/>
      <c r="S10" s="892">
        <f>SUM(U7:X9)</f>
        <v>0</v>
      </c>
      <c r="T10" s="823"/>
      <c r="U10" s="823"/>
      <c r="V10" s="823"/>
      <c r="W10" s="823"/>
      <c r="X10" s="824"/>
    </row>
    <row r="11" spans="1:24" ht="18" customHeight="1">
      <c r="A11" s="103">
        <v>2</v>
      </c>
      <c r="B11" s="849" t="s">
        <v>182</v>
      </c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109"/>
      <c r="V11" s="109"/>
      <c r="W11" s="109"/>
      <c r="X11" s="109"/>
    </row>
    <row r="12" spans="2:29" ht="18" customHeight="1">
      <c r="B12" s="106" t="s">
        <v>173</v>
      </c>
      <c r="C12" s="894" t="s">
        <v>174</v>
      </c>
      <c r="D12" s="947"/>
      <c r="E12" s="947"/>
      <c r="F12" s="947"/>
      <c r="G12" s="947"/>
      <c r="H12" s="947"/>
      <c r="I12" s="947"/>
      <c r="J12" s="948"/>
      <c r="K12" s="853" t="s">
        <v>183</v>
      </c>
      <c r="L12" s="856"/>
      <c r="M12" s="949"/>
      <c r="N12" s="853" t="s">
        <v>184</v>
      </c>
      <c r="O12" s="856"/>
      <c r="P12" s="949"/>
      <c r="Q12" s="863" t="s">
        <v>185</v>
      </c>
      <c r="R12" s="864"/>
      <c r="S12" s="856"/>
      <c r="T12" s="949"/>
      <c r="U12" s="875" t="s">
        <v>178</v>
      </c>
      <c r="V12" s="947"/>
      <c r="W12" s="947"/>
      <c r="X12" s="950"/>
      <c r="Y12" s="875" t="s">
        <v>179</v>
      </c>
      <c r="Z12" s="875"/>
      <c r="AA12" s="911"/>
      <c r="AB12" s="911"/>
      <c r="AC12" s="951"/>
    </row>
    <row r="13" spans="2:29" ht="18" customHeight="1">
      <c r="B13" s="935">
        <v>1</v>
      </c>
      <c r="C13" s="938"/>
      <c r="D13" s="880"/>
      <c r="E13" s="880"/>
      <c r="F13" s="880"/>
      <c r="G13" s="880"/>
      <c r="H13" s="880"/>
      <c r="I13" s="880"/>
      <c r="J13" s="939"/>
      <c r="K13" s="879"/>
      <c r="L13" s="880"/>
      <c r="M13" s="939"/>
      <c r="N13" s="879"/>
      <c r="O13" s="880"/>
      <c r="P13" s="939"/>
      <c r="Q13" s="120" t="s">
        <v>186</v>
      </c>
      <c r="R13" s="945"/>
      <c r="S13" s="945"/>
      <c r="T13" s="946"/>
      <c r="U13" s="914"/>
      <c r="V13" s="915"/>
      <c r="W13" s="915"/>
      <c r="X13" s="916"/>
      <c r="Y13" s="922"/>
      <c r="Z13" s="923"/>
      <c r="AA13" s="108" t="s">
        <v>180</v>
      </c>
      <c r="AB13" s="923"/>
      <c r="AC13" s="924"/>
    </row>
    <row r="14" spans="2:29" ht="18" customHeight="1">
      <c r="B14" s="936"/>
      <c r="C14" s="940"/>
      <c r="D14" s="918"/>
      <c r="E14" s="918"/>
      <c r="F14" s="918"/>
      <c r="G14" s="918"/>
      <c r="H14" s="918"/>
      <c r="I14" s="918"/>
      <c r="J14" s="941"/>
      <c r="K14" s="917"/>
      <c r="L14" s="918"/>
      <c r="M14" s="941"/>
      <c r="N14" s="917"/>
      <c r="O14" s="918"/>
      <c r="P14" s="941"/>
      <c r="Q14" s="121" t="s">
        <v>187</v>
      </c>
      <c r="R14" s="925"/>
      <c r="S14" s="925"/>
      <c r="T14" s="926"/>
      <c r="U14" s="917"/>
      <c r="V14" s="918"/>
      <c r="W14" s="918"/>
      <c r="X14" s="919"/>
      <c r="Y14" s="927">
        <f>IF(OR(U13="",Y13=""),"",INT(U13/Y13*AB13))</f>
      </c>
      <c r="Z14" s="928"/>
      <c r="AA14" s="928"/>
      <c r="AB14" s="928"/>
      <c r="AC14" s="929"/>
    </row>
    <row r="15" spans="2:29" ht="18" customHeight="1">
      <c r="B15" s="937"/>
      <c r="C15" s="942"/>
      <c r="D15" s="874"/>
      <c r="E15" s="874"/>
      <c r="F15" s="874"/>
      <c r="G15" s="874"/>
      <c r="H15" s="874"/>
      <c r="I15" s="874"/>
      <c r="J15" s="943"/>
      <c r="K15" s="920"/>
      <c r="L15" s="874"/>
      <c r="M15" s="943"/>
      <c r="N15" s="920"/>
      <c r="O15" s="874"/>
      <c r="P15" s="943"/>
      <c r="Q15" s="122" t="s">
        <v>188</v>
      </c>
      <c r="R15" s="933"/>
      <c r="S15" s="933"/>
      <c r="T15" s="934"/>
      <c r="U15" s="920"/>
      <c r="V15" s="874"/>
      <c r="W15" s="874"/>
      <c r="X15" s="921"/>
      <c r="Y15" s="930"/>
      <c r="Z15" s="931"/>
      <c r="AA15" s="931"/>
      <c r="AB15" s="931"/>
      <c r="AC15" s="932"/>
    </row>
    <row r="16" spans="2:29" ht="18" customHeight="1">
      <c r="B16" s="935">
        <v>2</v>
      </c>
      <c r="C16" s="938"/>
      <c r="D16" s="880"/>
      <c r="E16" s="880"/>
      <c r="F16" s="880"/>
      <c r="G16" s="880"/>
      <c r="H16" s="880"/>
      <c r="I16" s="880"/>
      <c r="J16" s="939"/>
      <c r="K16" s="944"/>
      <c r="L16" s="880"/>
      <c r="M16" s="939"/>
      <c r="N16" s="944"/>
      <c r="O16" s="880"/>
      <c r="P16" s="939"/>
      <c r="Q16" s="120" t="s">
        <v>186</v>
      </c>
      <c r="R16" s="945"/>
      <c r="S16" s="945"/>
      <c r="T16" s="946"/>
      <c r="U16" s="914"/>
      <c r="V16" s="915"/>
      <c r="W16" s="915"/>
      <c r="X16" s="916"/>
      <c r="Y16" s="922"/>
      <c r="Z16" s="923"/>
      <c r="AA16" s="108" t="s">
        <v>180</v>
      </c>
      <c r="AB16" s="923"/>
      <c r="AC16" s="924"/>
    </row>
    <row r="17" spans="2:29" ht="18" customHeight="1">
      <c r="B17" s="936"/>
      <c r="C17" s="940"/>
      <c r="D17" s="918"/>
      <c r="E17" s="918"/>
      <c r="F17" s="918"/>
      <c r="G17" s="918"/>
      <c r="H17" s="918"/>
      <c r="I17" s="918"/>
      <c r="J17" s="941"/>
      <c r="K17" s="917"/>
      <c r="L17" s="918"/>
      <c r="M17" s="941"/>
      <c r="N17" s="917"/>
      <c r="O17" s="918"/>
      <c r="P17" s="941"/>
      <c r="Q17" s="121" t="s">
        <v>187</v>
      </c>
      <c r="R17" s="925"/>
      <c r="S17" s="925"/>
      <c r="T17" s="926"/>
      <c r="U17" s="917"/>
      <c r="V17" s="918"/>
      <c r="W17" s="918"/>
      <c r="X17" s="919"/>
      <c r="Y17" s="927">
        <f>IF(OR(U16="",Y16=""),"",INT(U16/Y16*AB16))</f>
      </c>
      <c r="Z17" s="928"/>
      <c r="AA17" s="928"/>
      <c r="AB17" s="928"/>
      <c r="AC17" s="929"/>
    </row>
    <row r="18" spans="2:29" ht="18" customHeight="1">
      <c r="B18" s="937"/>
      <c r="C18" s="942"/>
      <c r="D18" s="874"/>
      <c r="E18" s="874"/>
      <c r="F18" s="874"/>
      <c r="G18" s="874"/>
      <c r="H18" s="874"/>
      <c r="I18" s="874"/>
      <c r="J18" s="943"/>
      <c r="K18" s="920"/>
      <c r="L18" s="874"/>
      <c r="M18" s="943"/>
      <c r="N18" s="920"/>
      <c r="O18" s="874"/>
      <c r="P18" s="943"/>
      <c r="Q18" s="122" t="s">
        <v>188</v>
      </c>
      <c r="R18" s="933"/>
      <c r="S18" s="933"/>
      <c r="T18" s="934"/>
      <c r="U18" s="920"/>
      <c r="V18" s="874"/>
      <c r="W18" s="874"/>
      <c r="X18" s="921"/>
      <c r="Y18" s="930"/>
      <c r="Z18" s="931"/>
      <c r="AA18" s="931"/>
      <c r="AB18" s="931"/>
      <c r="AC18" s="932"/>
    </row>
    <row r="19" spans="3:24" ht="18" customHeight="1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09"/>
      <c r="Q19" s="840" t="s">
        <v>181</v>
      </c>
      <c r="R19" s="841"/>
      <c r="S19" s="822">
        <f>SUM(U13:X18)</f>
        <v>0</v>
      </c>
      <c r="T19" s="823"/>
      <c r="U19" s="823"/>
      <c r="V19" s="823"/>
      <c r="W19" s="823"/>
      <c r="X19" s="824"/>
    </row>
    <row r="20" spans="1:24" ht="18" customHeight="1">
      <c r="A20" s="103">
        <v>3</v>
      </c>
      <c r="B20" s="849" t="s">
        <v>189</v>
      </c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109"/>
      <c r="V20" s="109"/>
      <c r="W20" s="109"/>
      <c r="X20" s="109"/>
    </row>
    <row r="21" spans="2:24" ht="18" customHeight="1">
      <c r="B21" s="106" t="s">
        <v>173</v>
      </c>
      <c r="C21" s="850" t="s">
        <v>190</v>
      </c>
      <c r="D21" s="911"/>
      <c r="E21" s="911"/>
      <c r="F21" s="911"/>
      <c r="G21" s="911"/>
      <c r="H21" s="912"/>
      <c r="I21" s="853" t="s">
        <v>191</v>
      </c>
      <c r="J21" s="854"/>
      <c r="K21" s="855"/>
      <c r="L21" s="853" t="s">
        <v>192</v>
      </c>
      <c r="M21" s="864"/>
      <c r="N21" s="864"/>
      <c r="O21" s="865"/>
      <c r="P21" s="853" t="s">
        <v>193</v>
      </c>
      <c r="Q21" s="854"/>
      <c r="R21" s="854"/>
      <c r="S21" s="854"/>
      <c r="T21" s="855"/>
      <c r="U21" s="853" t="s">
        <v>178</v>
      </c>
      <c r="V21" s="864"/>
      <c r="W21" s="864"/>
      <c r="X21" s="913"/>
    </row>
    <row r="22" spans="2:24" ht="18" customHeight="1">
      <c r="B22" s="107">
        <v>1</v>
      </c>
      <c r="C22" s="858" t="s">
        <v>194</v>
      </c>
      <c r="D22" s="902"/>
      <c r="E22" s="902"/>
      <c r="F22" s="902"/>
      <c r="G22" s="902"/>
      <c r="H22" s="903"/>
      <c r="I22" s="859" t="s">
        <v>194</v>
      </c>
      <c r="J22" s="904"/>
      <c r="K22" s="905"/>
      <c r="L22" s="859" t="s">
        <v>194</v>
      </c>
      <c r="M22" s="904"/>
      <c r="N22" s="904"/>
      <c r="O22" s="905"/>
      <c r="P22" s="859" t="s">
        <v>194</v>
      </c>
      <c r="Q22" s="904"/>
      <c r="R22" s="904"/>
      <c r="S22" s="904"/>
      <c r="T22" s="905"/>
      <c r="U22" s="906"/>
      <c r="V22" s="907"/>
      <c r="W22" s="907"/>
      <c r="X22" s="908"/>
    </row>
    <row r="23" spans="2:24" ht="18" customHeight="1">
      <c r="B23" s="107">
        <v>2</v>
      </c>
      <c r="C23" s="858" t="s">
        <v>194</v>
      </c>
      <c r="D23" s="902"/>
      <c r="E23" s="902"/>
      <c r="F23" s="902"/>
      <c r="G23" s="902"/>
      <c r="H23" s="903"/>
      <c r="I23" s="859" t="s">
        <v>194</v>
      </c>
      <c r="J23" s="904"/>
      <c r="K23" s="905"/>
      <c r="L23" s="859" t="s">
        <v>194</v>
      </c>
      <c r="M23" s="904"/>
      <c r="N23" s="904"/>
      <c r="O23" s="905"/>
      <c r="P23" s="859" t="s">
        <v>194</v>
      </c>
      <c r="Q23" s="904"/>
      <c r="R23" s="904"/>
      <c r="S23" s="904"/>
      <c r="T23" s="905"/>
      <c r="U23" s="906"/>
      <c r="V23" s="907"/>
      <c r="W23" s="907"/>
      <c r="X23" s="908"/>
    </row>
    <row r="24" spans="2:24" ht="18" customHeight="1">
      <c r="B24" s="107">
        <v>3</v>
      </c>
      <c r="C24" s="858" t="s">
        <v>194</v>
      </c>
      <c r="D24" s="902"/>
      <c r="E24" s="902"/>
      <c r="F24" s="902"/>
      <c r="G24" s="902"/>
      <c r="H24" s="903"/>
      <c r="I24" s="859" t="s">
        <v>194</v>
      </c>
      <c r="J24" s="904"/>
      <c r="K24" s="905"/>
      <c r="L24" s="859" t="s">
        <v>194</v>
      </c>
      <c r="M24" s="904"/>
      <c r="N24" s="904"/>
      <c r="O24" s="905"/>
      <c r="P24" s="859" t="s">
        <v>194</v>
      </c>
      <c r="Q24" s="904"/>
      <c r="R24" s="904"/>
      <c r="S24" s="904"/>
      <c r="T24" s="905"/>
      <c r="U24" s="906"/>
      <c r="V24" s="907"/>
      <c r="W24" s="907"/>
      <c r="X24" s="908"/>
    </row>
    <row r="25" spans="3:24" ht="18" customHeight="1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1"/>
      <c r="P25" s="112"/>
      <c r="Q25" s="112"/>
      <c r="R25" s="112"/>
      <c r="S25" s="840" t="s">
        <v>181</v>
      </c>
      <c r="T25" s="841"/>
      <c r="U25" s="822">
        <f>SUM(U22:X24)</f>
        <v>0</v>
      </c>
      <c r="V25" s="909"/>
      <c r="W25" s="909"/>
      <c r="X25" s="910"/>
    </row>
    <row r="26" spans="1:24" ht="18" customHeight="1">
      <c r="A26" s="103">
        <v>4</v>
      </c>
      <c r="B26" s="849" t="s">
        <v>195</v>
      </c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109"/>
      <c r="V26" s="109"/>
      <c r="W26" s="109"/>
      <c r="X26" s="109"/>
    </row>
    <row r="27" spans="2:24" ht="18" customHeight="1">
      <c r="B27" s="106" t="s">
        <v>173</v>
      </c>
      <c r="C27" s="850" t="s">
        <v>196</v>
      </c>
      <c r="D27" s="851"/>
      <c r="E27" s="851"/>
      <c r="F27" s="851"/>
      <c r="G27" s="851"/>
      <c r="H27" s="852"/>
      <c r="I27" s="863" t="s">
        <v>92</v>
      </c>
      <c r="J27" s="851"/>
      <c r="K27" s="852"/>
      <c r="L27" s="853" t="s">
        <v>197</v>
      </c>
      <c r="M27" s="854"/>
      <c r="N27" s="854"/>
      <c r="O27" s="854"/>
      <c r="P27" s="854"/>
      <c r="Q27" s="854"/>
      <c r="R27" s="855"/>
      <c r="S27" s="863" t="s">
        <v>198</v>
      </c>
      <c r="T27" s="856"/>
      <c r="U27" s="856"/>
      <c r="V27" s="856"/>
      <c r="W27" s="856"/>
      <c r="X27" s="857"/>
    </row>
    <row r="28" spans="2:24" ht="18" customHeight="1">
      <c r="B28" s="107">
        <v>1</v>
      </c>
      <c r="C28" s="842"/>
      <c r="D28" s="843"/>
      <c r="E28" s="843"/>
      <c r="F28" s="843"/>
      <c r="G28" s="843"/>
      <c r="H28" s="844"/>
      <c r="I28" s="845"/>
      <c r="J28" s="843"/>
      <c r="K28" s="844"/>
      <c r="L28" s="834"/>
      <c r="M28" s="835"/>
      <c r="N28" s="835"/>
      <c r="O28" s="835"/>
      <c r="P28" s="835"/>
      <c r="Q28" s="835"/>
      <c r="R28" s="836"/>
      <c r="S28" s="846"/>
      <c r="T28" s="847"/>
      <c r="U28" s="847"/>
      <c r="V28" s="847"/>
      <c r="W28" s="847"/>
      <c r="X28" s="848"/>
    </row>
    <row r="29" spans="2:24" ht="18" customHeight="1">
      <c r="B29" s="107">
        <v>2</v>
      </c>
      <c r="C29" s="830"/>
      <c r="D29" s="831"/>
      <c r="E29" s="831"/>
      <c r="F29" s="831"/>
      <c r="G29" s="831"/>
      <c r="H29" s="832"/>
      <c r="I29" s="833"/>
      <c r="J29" s="831"/>
      <c r="K29" s="832"/>
      <c r="L29" s="834"/>
      <c r="M29" s="835"/>
      <c r="N29" s="835"/>
      <c r="O29" s="835"/>
      <c r="P29" s="835"/>
      <c r="Q29" s="835"/>
      <c r="R29" s="836"/>
      <c r="S29" s="837"/>
      <c r="T29" s="838"/>
      <c r="U29" s="838"/>
      <c r="V29" s="838"/>
      <c r="W29" s="838"/>
      <c r="X29" s="839"/>
    </row>
    <row r="30" spans="2:24" ht="18" customHeight="1">
      <c r="B30" s="107">
        <v>3</v>
      </c>
      <c r="C30" s="830"/>
      <c r="D30" s="831"/>
      <c r="E30" s="831"/>
      <c r="F30" s="831"/>
      <c r="G30" s="831"/>
      <c r="H30" s="832"/>
      <c r="I30" s="833"/>
      <c r="J30" s="831"/>
      <c r="K30" s="832"/>
      <c r="L30" s="834"/>
      <c r="M30" s="835"/>
      <c r="N30" s="835"/>
      <c r="O30" s="835"/>
      <c r="P30" s="835"/>
      <c r="Q30" s="835"/>
      <c r="R30" s="836"/>
      <c r="S30" s="837"/>
      <c r="T30" s="838"/>
      <c r="U30" s="838"/>
      <c r="V30" s="838"/>
      <c r="W30" s="838"/>
      <c r="X30" s="839"/>
    </row>
    <row r="31" spans="2:24" ht="18" customHeight="1">
      <c r="B31" s="107">
        <v>4</v>
      </c>
      <c r="C31" s="830"/>
      <c r="D31" s="831"/>
      <c r="E31" s="831"/>
      <c r="F31" s="831"/>
      <c r="G31" s="831"/>
      <c r="H31" s="832"/>
      <c r="I31" s="833"/>
      <c r="J31" s="831"/>
      <c r="K31" s="832"/>
      <c r="L31" s="834"/>
      <c r="M31" s="835"/>
      <c r="N31" s="835"/>
      <c r="O31" s="835"/>
      <c r="P31" s="835"/>
      <c r="Q31" s="835"/>
      <c r="R31" s="836"/>
      <c r="S31" s="837"/>
      <c r="T31" s="838"/>
      <c r="U31" s="838"/>
      <c r="V31" s="838"/>
      <c r="W31" s="838"/>
      <c r="X31" s="839"/>
    </row>
    <row r="32" spans="2:24" ht="18" customHeight="1">
      <c r="B32" s="107">
        <v>5</v>
      </c>
      <c r="C32" s="830"/>
      <c r="D32" s="831"/>
      <c r="E32" s="831"/>
      <c r="F32" s="831"/>
      <c r="G32" s="831"/>
      <c r="H32" s="832"/>
      <c r="I32" s="833"/>
      <c r="J32" s="831"/>
      <c r="K32" s="832"/>
      <c r="L32" s="834"/>
      <c r="M32" s="835"/>
      <c r="N32" s="835"/>
      <c r="O32" s="835"/>
      <c r="P32" s="835"/>
      <c r="Q32" s="835"/>
      <c r="R32" s="836"/>
      <c r="S32" s="837"/>
      <c r="T32" s="838"/>
      <c r="U32" s="838"/>
      <c r="V32" s="838"/>
      <c r="W32" s="838"/>
      <c r="X32" s="839"/>
    </row>
    <row r="33" spans="3:24" ht="18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109"/>
      <c r="Q33" s="840" t="s">
        <v>181</v>
      </c>
      <c r="R33" s="841"/>
      <c r="S33" s="822">
        <f>SUM(S28:X32)</f>
        <v>0</v>
      </c>
      <c r="T33" s="823"/>
      <c r="U33" s="823"/>
      <c r="V33" s="823"/>
      <c r="W33" s="823"/>
      <c r="X33" s="824"/>
    </row>
    <row r="34" spans="1:24" ht="18" customHeight="1">
      <c r="A34" s="103">
        <v>5</v>
      </c>
      <c r="B34" s="849" t="s">
        <v>311</v>
      </c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93"/>
      <c r="V34" s="893"/>
      <c r="W34" s="893"/>
      <c r="X34" s="893"/>
    </row>
    <row r="35" spans="2:24" ht="18" customHeight="1">
      <c r="B35" s="106" t="s">
        <v>173</v>
      </c>
      <c r="C35" s="894" t="s">
        <v>200</v>
      </c>
      <c r="D35" s="895"/>
      <c r="E35" s="895"/>
      <c r="F35" s="895"/>
      <c r="G35" s="895"/>
      <c r="H35" s="896"/>
      <c r="I35" s="897" t="s">
        <v>201</v>
      </c>
      <c r="J35" s="898"/>
      <c r="K35" s="899"/>
      <c r="L35" s="853" t="s">
        <v>202</v>
      </c>
      <c r="M35" s="854"/>
      <c r="N35" s="854"/>
      <c r="O35" s="854"/>
      <c r="P35" s="854"/>
      <c r="Q35" s="854"/>
      <c r="R35" s="855"/>
      <c r="S35" s="900" t="s">
        <v>203</v>
      </c>
      <c r="T35" s="875"/>
      <c r="U35" s="875"/>
      <c r="V35" s="875"/>
      <c r="W35" s="875"/>
      <c r="X35" s="901"/>
    </row>
    <row r="36" spans="2:24" ht="18" customHeight="1">
      <c r="B36" s="107">
        <v>1</v>
      </c>
      <c r="C36" s="881"/>
      <c r="D36" s="882"/>
      <c r="E36" s="882"/>
      <c r="F36" s="882"/>
      <c r="G36" s="882"/>
      <c r="H36" s="883"/>
      <c r="I36" s="868"/>
      <c r="J36" s="884"/>
      <c r="K36" s="885"/>
      <c r="L36" s="886"/>
      <c r="M36" s="887"/>
      <c r="N36" s="887"/>
      <c r="O36" s="887"/>
      <c r="P36" s="887"/>
      <c r="Q36" s="887"/>
      <c r="R36" s="888"/>
      <c r="S36" s="889"/>
      <c r="T36" s="890"/>
      <c r="U36" s="890"/>
      <c r="V36" s="890"/>
      <c r="W36" s="890"/>
      <c r="X36" s="891"/>
    </row>
    <row r="37" spans="2:24" ht="18" customHeight="1">
      <c r="B37" s="107">
        <v>2</v>
      </c>
      <c r="C37" s="881"/>
      <c r="D37" s="882"/>
      <c r="E37" s="882"/>
      <c r="F37" s="882"/>
      <c r="G37" s="882"/>
      <c r="H37" s="883"/>
      <c r="I37" s="868"/>
      <c r="J37" s="884"/>
      <c r="K37" s="885"/>
      <c r="L37" s="886"/>
      <c r="M37" s="887"/>
      <c r="N37" s="887"/>
      <c r="O37" s="887"/>
      <c r="P37" s="887"/>
      <c r="Q37" s="887"/>
      <c r="R37" s="888"/>
      <c r="S37" s="889"/>
      <c r="T37" s="890"/>
      <c r="U37" s="890"/>
      <c r="V37" s="890"/>
      <c r="W37" s="890"/>
      <c r="X37" s="891"/>
    </row>
    <row r="38" spans="2:24" ht="18" customHeight="1">
      <c r="B38" s="107">
        <v>3</v>
      </c>
      <c r="C38" s="881"/>
      <c r="D38" s="882"/>
      <c r="E38" s="882"/>
      <c r="F38" s="882"/>
      <c r="G38" s="882"/>
      <c r="H38" s="883"/>
      <c r="I38" s="868"/>
      <c r="J38" s="884"/>
      <c r="K38" s="885"/>
      <c r="L38" s="886"/>
      <c r="M38" s="887"/>
      <c r="N38" s="887"/>
      <c r="O38" s="887"/>
      <c r="P38" s="887"/>
      <c r="Q38" s="887"/>
      <c r="R38" s="888"/>
      <c r="S38" s="889"/>
      <c r="T38" s="890"/>
      <c r="U38" s="890"/>
      <c r="V38" s="890"/>
      <c r="W38" s="890"/>
      <c r="X38" s="891"/>
    </row>
    <row r="39" spans="2:24" ht="18" customHeight="1">
      <c r="B39" s="107">
        <v>4</v>
      </c>
      <c r="C39" s="881"/>
      <c r="D39" s="882"/>
      <c r="E39" s="882"/>
      <c r="F39" s="882"/>
      <c r="G39" s="882"/>
      <c r="H39" s="883"/>
      <c r="I39" s="868"/>
      <c r="J39" s="884"/>
      <c r="K39" s="885"/>
      <c r="L39" s="886"/>
      <c r="M39" s="887"/>
      <c r="N39" s="887"/>
      <c r="O39" s="887"/>
      <c r="P39" s="887"/>
      <c r="Q39" s="887"/>
      <c r="R39" s="888"/>
      <c r="S39" s="889"/>
      <c r="T39" s="890"/>
      <c r="U39" s="890"/>
      <c r="V39" s="890"/>
      <c r="W39" s="890"/>
      <c r="X39" s="891"/>
    </row>
    <row r="40" spans="2:24" ht="18" customHeight="1">
      <c r="B40" s="107">
        <v>5</v>
      </c>
      <c r="C40" s="881"/>
      <c r="D40" s="882"/>
      <c r="E40" s="882"/>
      <c r="F40" s="882"/>
      <c r="G40" s="882"/>
      <c r="H40" s="883"/>
      <c r="I40" s="868"/>
      <c r="J40" s="884"/>
      <c r="K40" s="885"/>
      <c r="L40" s="886"/>
      <c r="M40" s="887"/>
      <c r="N40" s="887"/>
      <c r="O40" s="887"/>
      <c r="P40" s="887"/>
      <c r="Q40" s="887"/>
      <c r="R40" s="888"/>
      <c r="S40" s="889"/>
      <c r="T40" s="890"/>
      <c r="U40" s="890"/>
      <c r="V40" s="890"/>
      <c r="W40" s="890"/>
      <c r="X40" s="891"/>
    </row>
    <row r="41" spans="3:24" ht="18" customHeight="1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09"/>
      <c r="Q41" s="840" t="s">
        <v>181</v>
      </c>
      <c r="R41" s="841"/>
      <c r="S41" s="892">
        <f>SUM(S36:X40)</f>
        <v>0</v>
      </c>
      <c r="T41" s="823"/>
      <c r="U41" s="823"/>
      <c r="V41" s="823"/>
      <c r="W41" s="823"/>
      <c r="X41" s="824"/>
    </row>
    <row r="42" spans="1:24" ht="18" customHeight="1">
      <c r="A42" s="103">
        <v>6</v>
      </c>
      <c r="B42" s="849" t="s">
        <v>204</v>
      </c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109"/>
      <c r="V42" s="109"/>
      <c r="W42" s="109"/>
      <c r="X42" s="109"/>
    </row>
    <row r="43" spans="2:24" ht="18" customHeight="1">
      <c r="B43" s="106" t="s">
        <v>173</v>
      </c>
      <c r="C43" s="862" t="s">
        <v>205</v>
      </c>
      <c r="D43" s="875"/>
      <c r="E43" s="875"/>
      <c r="F43" s="875"/>
      <c r="G43" s="875"/>
      <c r="H43" s="876"/>
      <c r="I43" s="853" t="s">
        <v>206</v>
      </c>
      <c r="J43" s="864"/>
      <c r="K43" s="864"/>
      <c r="L43" s="863" t="s">
        <v>167</v>
      </c>
      <c r="M43" s="864"/>
      <c r="N43" s="864"/>
      <c r="O43" s="864"/>
      <c r="P43" s="864"/>
      <c r="Q43" s="864"/>
      <c r="R43" s="865"/>
      <c r="S43" s="863" t="s">
        <v>198</v>
      </c>
      <c r="T43" s="856"/>
      <c r="U43" s="856"/>
      <c r="V43" s="856"/>
      <c r="W43" s="856"/>
      <c r="X43" s="857"/>
    </row>
    <row r="44" spans="2:24" ht="18" customHeight="1">
      <c r="B44" s="107">
        <v>1</v>
      </c>
      <c r="C44" s="860" t="s">
        <v>194</v>
      </c>
      <c r="D44" s="877"/>
      <c r="E44" s="877"/>
      <c r="F44" s="877"/>
      <c r="G44" s="877"/>
      <c r="H44" s="878"/>
      <c r="I44" s="879" t="s">
        <v>194</v>
      </c>
      <c r="J44" s="880"/>
      <c r="K44" s="880"/>
      <c r="L44" s="834" t="s">
        <v>194</v>
      </c>
      <c r="M44" s="835"/>
      <c r="N44" s="835"/>
      <c r="O44" s="835"/>
      <c r="P44" s="835"/>
      <c r="Q44" s="835"/>
      <c r="R44" s="836"/>
      <c r="S44" s="846"/>
      <c r="T44" s="847"/>
      <c r="U44" s="847"/>
      <c r="V44" s="847"/>
      <c r="W44" s="847"/>
      <c r="X44" s="848"/>
    </row>
    <row r="45" spans="2:24" ht="18" customHeight="1">
      <c r="B45" s="107">
        <v>2</v>
      </c>
      <c r="C45" s="858" t="s">
        <v>194</v>
      </c>
      <c r="D45" s="866"/>
      <c r="E45" s="866"/>
      <c r="F45" s="866"/>
      <c r="G45" s="866"/>
      <c r="H45" s="867"/>
      <c r="I45" s="868" t="s">
        <v>194</v>
      </c>
      <c r="J45" s="869"/>
      <c r="K45" s="869"/>
      <c r="L45" s="834" t="s">
        <v>194</v>
      </c>
      <c r="M45" s="835"/>
      <c r="N45" s="835"/>
      <c r="O45" s="835"/>
      <c r="P45" s="835"/>
      <c r="Q45" s="835"/>
      <c r="R45" s="836"/>
      <c r="S45" s="837"/>
      <c r="T45" s="838"/>
      <c r="U45" s="838"/>
      <c r="V45" s="838"/>
      <c r="W45" s="838"/>
      <c r="X45" s="839"/>
    </row>
    <row r="46" spans="2:24" ht="18" customHeight="1">
      <c r="B46" s="107">
        <v>3</v>
      </c>
      <c r="C46" s="870" t="s">
        <v>194</v>
      </c>
      <c r="D46" s="871"/>
      <c r="E46" s="871"/>
      <c r="F46" s="871"/>
      <c r="G46" s="871"/>
      <c r="H46" s="872"/>
      <c r="I46" s="873" t="s">
        <v>194</v>
      </c>
      <c r="J46" s="874"/>
      <c r="K46" s="874"/>
      <c r="L46" s="834" t="s">
        <v>194</v>
      </c>
      <c r="M46" s="835"/>
      <c r="N46" s="835"/>
      <c r="O46" s="835"/>
      <c r="P46" s="835"/>
      <c r="Q46" s="835"/>
      <c r="R46" s="836"/>
      <c r="S46" s="837"/>
      <c r="T46" s="838"/>
      <c r="U46" s="838"/>
      <c r="V46" s="838"/>
      <c r="W46" s="838"/>
      <c r="X46" s="839"/>
    </row>
    <row r="47" spans="3:24" ht="18" customHeight="1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109"/>
      <c r="Q47" s="840" t="s">
        <v>181</v>
      </c>
      <c r="R47" s="841"/>
      <c r="S47" s="822">
        <f>SUM(S44:X46)</f>
        <v>0</v>
      </c>
      <c r="T47" s="823"/>
      <c r="U47" s="823"/>
      <c r="V47" s="823"/>
      <c r="W47" s="823"/>
      <c r="X47" s="824"/>
    </row>
    <row r="48" spans="1:24" ht="18" customHeight="1">
      <c r="A48" s="103">
        <v>7</v>
      </c>
      <c r="B48" s="849" t="s">
        <v>209</v>
      </c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109"/>
      <c r="V48" s="109"/>
      <c r="W48" s="109"/>
      <c r="X48" s="109"/>
    </row>
    <row r="49" spans="2:24" ht="18" customHeight="1">
      <c r="B49" s="106" t="s">
        <v>173</v>
      </c>
      <c r="C49" s="862" t="s">
        <v>210</v>
      </c>
      <c r="D49" s="851"/>
      <c r="E49" s="851"/>
      <c r="F49" s="851"/>
      <c r="G49" s="851"/>
      <c r="H49" s="852"/>
      <c r="I49" s="863" t="s">
        <v>211</v>
      </c>
      <c r="J49" s="851"/>
      <c r="K49" s="852"/>
      <c r="L49" s="863" t="s">
        <v>167</v>
      </c>
      <c r="M49" s="864"/>
      <c r="N49" s="864"/>
      <c r="O49" s="864"/>
      <c r="P49" s="864"/>
      <c r="Q49" s="864"/>
      <c r="R49" s="865"/>
      <c r="S49" s="853" t="s">
        <v>212</v>
      </c>
      <c r="T49" s="856"/>
      <c r="U49" s="856"/>
      <c r="V49" s="856"/>
      <c r="W49" s="856"/>
      <c r="X49" s="857"/>
    </row>
    <row r="50" spans="2:24" ht="18" customHeight="1">
      <c r="B50" s="107">
        <v>1</v>
      </c>
      <c r="C50" s="860"/>
      <c r="D50" s="843"/>
      <c r="E50" s="843"/>
      <c r="F50" s="843"/>
      <c r="G50" s="843"/>
      <c r="H50" s="844"/>
      <c r="I50" s="861" t="s">
        <v>194</v>
      </c>
      <c r="J50" s="843"/>
      <c r="K50" s="844"/>
      <c r="L50" s="834" t="s">
        <v>194</v>
      </c>
      <c r="M50" s="835"/>
      <c r="N50" s="835"/>
      <c r="O50" s="835"/>
      <c r="P50" s="835"/>
      <c r="Q50" s="835"/>
      <c r="R50" s="836"/>
      <c r="S50" s="846"/>
      <c r="T50" s="847"/>
      <c r="U50" s="847"/>
      <c r="V50" s="847"/>
      <c r="W50" s="847"/>
      <c r="X50" s="848"/>
    </row>
    <row r="51" spans="2:24" ht="18" customHeight="1">
      <c r="B51" s="107">
        <v>2</v>
      </c>
      <c r="C51" s="858" t="s">
        <v>194</v>
      </c>
      <c r="D51" s="831"/>
      <c r="E51" s="831"/>
      <c r="F51" s="831"/>
      <c r="G51" s="831"/>
      <c r="H51" s="832"/>
      <c r="I51" s="859" t="s">
        <v>194</v>
      </c>
      <c r="J51" s="831"/>
      <c r="K51" s="832"/>
      <c r="L51" s="834" t="s">
        <v>194</v>
      </c>
      <c r="M51" s="835"/>
      <c r="N51" s="835"/>
      <c r="O51" s="835"/>
      <c r="P51" s="835"/>
      <c r="Q51" s="835"/>
      <c r="R51" s="836"/>
      <c r="S51" s="837"/>
      <c r="T51" s="838"/>
      <c r="U51" s="838"/>
      <c r="V51" s="838"/>
      <c r="W51" s="838"/>
      <c r="X51" s="839"/>
    </row>
    <row r="52" spans="2:24" ht="18" customHeight="1">
      <c r="B52" s="107">
        <v>3</v>
      </c>
      <c r="C52" s="858" t="s">
        <v>194</v>
      </c>
      <c r="D52" s="831"/>
      <c r="E52" s="831"/>
      <c r="F52" s="831"/>
      <c r="G52" s="831"/>
      <c r="H52" s="832"/>
      <c r="I52" s="859" t="s">
        <v>194</v>
      </c>
      <c r="J52" s="831"/>
      <c r="K52" s="832"/>
      <c r="L52" s="834" t="s">
        <v>194</v>
      </c>
      <c r="M52" s="835"/>
      <c r="N52" s="835"/>
      <c r="O52" s="835"/>
      <c r="P52" s="835"/>
      <c r="Q52" s="835"/>
      <c r="R52" s="836"/>
      <c r="S52" s="837"/>
      <c r="T52" s="838"/>
      <c r="U52" s="838"/>
      <c r="V52" s="838"/>
      <c r="W52" s="838"/>
      <c r="X52" s="839"/>
    </row>
    <row r="53" spans="2:24" ht="18" customHeight="1">
      <c r="B53" s="107">
        <v>4</v>
      </c>
      <c r="C53" s="858" t="s">
        <v>194</v>
      </c>
      <c r="D53" s="831"/>
      <c r="E53" s="831"/>
      <c r="F53" s="831"/>
      <c r="G53" s="831"/>
      <c r="H53" s="832"/>
      <c r="I53" s="859" t="s">
        <v>194</v>
      </c>
      <c r="J53" s="831"/>
      <c r="K53" s="832"/>
      <c r="L53" s="834" t="s">
        <v>194</v>
      </c>
      <c r="M53" s="835"/>
      <c r="N53" s="835"/>
      <c r="O53" s="835"/>
      <c r="P53" s="835"/>
      <c r="Q53" s="835"/>
      <c r="R53" s="836"/>
      <c r="S53" s="837"/>
      <c r="T53" s="838"/>
      <c r="U53" s="838"/>
      <c r="V53" s="838"/>
      <c r="W53" s="838"/>
      <c r="X53" s="839"/>
    </row>
    <row r="54" spans="3:24" ht="18" customHeight="1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9"/>
      <c r="Q54" s="840" t="s">
        <v>181</v>
      </c>
      <c r="R54" s="841"/>
      <c r="S54" s="822">
        <f>SUM(S50:X53)</f>
        <v>0</v>
      </c>
      <c r="T54" s="823"/>
      <c r="U54" s="823"/>
      <c r="V54" s="823"/>
      <c r="W54" s="823"/>
      <c r="X54" s="824"/>
    </row>
    <row r="55" spans="1:24" ht="18" customHeight="1">
      <c r="A55" s="103">
        <v>8</v>
      </c>
      <c r="B55" s="849" t="s">
        <v>309</v>
      </c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109"/>
      <c r="V55" s="109"/>
      <c r="W55" s="109"/>
      <c r="X55" s="109"/>
    </row>
    <row r="56" spans="2:24" ht="18" customHeight="1">
      <c r="B56" s="106" t="s">
        <v>173</v>
      </c>
      <c r="C56" s="850" t="s">
        <v>214</v>
      </c>
      <c r="D56" s="851"/>
      <c r="E56" s="851"/>
      <c r="F56" s="851"/>
      <c r="G56" s="851"/>
      <c r="H56" s="852"/>
      <c r="I56" s="853" t="s">
        <v>215</v>
      </c>
      <c r="J56" s="851"/>
      <c r="K56" s="852"/>
      <c r="L56" s="853" t="s">
        <v>216</v>
      </c>
      <c r="M56" s="854"/>
      <c r="N56" s="854"/>
      <c r="O56" s="854"/>
      <c r="P56" s="854"/>
      <c r="Q56" s="854"/>
      <c r="R56" s="855"/>
      <c r="S56" s="853" t="s">
        <v>198</v>
      </c>
      <c r="T56" s="856"/>
      <c r="U56" s="856"/>
      <c r="V56" s="856"/>
      <c r="W56" s="856"/>
      <c r="X56" s="857"/>
    </row>
    <row r="57" spans="2:24" ht="18" customHeight="1">
      <c r="B57" s="107">
        <v>1</v>
      </c>
      <c r="C57" s="842"/>
      <c r="D57" s="843"/>
      <c r="E57" s="843"/>
      <c r="F57" s="843"/>
      <c r="G57" s="843"/>
      <c r="H57" s="844"/>
      <c r="I57" s="845"/>
      <c r="J57" s="843"/>
      <c r="K57" s="844"/>
      <c r="L57" s="834" t="s">
        <v>194</v>
      </c>
      <c r="M57" s="835"/>
      <c r="N57" s="835"/>
      <c r="O57" s="835"/>
      <c r="P57" s="835"/>
      <c r="Q57" s="835"/>
      <c r="R57" s="836"/>
      <c r="S57" s="846"/>
      <c r="T57" s="847"/>
      <c r="U57" s="847"/>
      <c r="V57" s="847"/>
      <c r="W57" s="847"/>
      <c r="X57" s="848"/>
    </row>
    <row r="58" spans="2:24" ht="18" customHeight="1">
      <c r="B58" s="107">
        <v>2</v>
      </c>
      <c r="C58" s="830"/>
      <c r="D58" s="831"/>
      <c r="E58" s="831"/>
      <c r="F58" s="831"/>
      <c r="G58" s="831"/>
      <c r="H58" s="832"/>
      <c r="I58" s="833"/>
      <c r="J58" s="831"/>
      <c r="K58" s="832"/>
      <c r="L58" s="834" t="s">
        <v>194</v>
      </c>
      <c r="M58" s="835"/>
      <c r="N58" s="835"/>
      <c r="O58" s="835"/>
      <c r="P58" s="835"/>
      <c r="Q58" s="835"/>
      <c r="R58" s="836"/>
      <c r="S58" s="837"/>
      <c r="T58" s="838"/>
      <c r="U58" s="838"/>
      <c r="V58" s="838"/>
      <c r="W58" s="838"/>
      <c r="X58" s="839"/>
    </row>
    <row r="59" spans="2:24" ht="18" customHeight="1">
      <c r="B59" s="107">
        <v>3</v>
      </c>
      <c r="C59" s="830"/>
      <c r="D59" s="831"/>
      <c r="E59" s="831"/>
      <c r="F59" s="831"/>
      <c r="G59" s="831"/>
      <c r="H59" s="832"/>
      <c r="I59" s="833"/>
      <c r="J59" s="831"/>
      <c r="K59" s="832"/>
      <c r="L59" s="834" t="s">
        <v>194</v>
      </c>
      <c r="M59" s="835"/>
      <c r="N59" s="835"/>
      <c r="O59" s="835"/>
      <c r="P59" s="835"/>
      <c r="Q59" s="835"/>
      <c r="R59" s="836"/>
      <c r="S59" s="837"/>
      <c r="T59" s="838"/>
      <c r="U59" s="838"/>
      <c r="V59" s="838"/>
      <c r="W59" s="838"/>
      <c r="X59" s="839"/>
    </row>
    <row r="60" spans="3:31" ht="18" customHeight="1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0"/>
      <c r="P60" s="109"/>
      <c r="Q60" s="840" t="s">
        <v>181</v>
      </c>
      <c r="R60" s="841"/>
      <c r="S60" s="822">
        <f>SUM(S57:X59)</f>
        <v>0</v>
      </c>
      <c r="T60" s="823"/>
      <c r="U60" s="823"/>
      <c r="V60" s="823"/>
      <c r="W60" s="823"/>
      <c r="X60" s="824"/>
      <c r="Z60" s="829" t="s">
        <v>313</v>
      </c>
      <c r="AA60" s="829"/>
      <c r="AB60" s="829"/>
      <c r="AC60" s="126">
        <v>1</v>
      </c>
      <c r="AD60" s="124" t="s">
        <v>314</v>
      </c>
      <c r="AE60" s="125">
        <v>2</v>
      </c>
    </row>
    <row r="61" spans="3:24" ht="18" customHeight="1" thickBot="1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3:31" ht="18" customHeight="1" thickBot="1"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819" t="s">
        <v>312</v>
      </c>
      <c r="P62" s="820"/>
      <c r="Q62" s="820"/>
      <c r="R62" s="821"/>
      <c r="S62" s="822">
        <f>S10+S19+U25+S33+S41+S47+S54</f>
        <v>0</v>
      </c>
      <c r="T62" s="823"/>
      <c r="U62" s="823"/>
      <c r="V62" s="823"/>
      <c r="W62" s="823"/>
      <c r="X62" s="824"/>
      <c r="Z62" s="826">
        <f>INT(S62*AC$60/AE$60)</f>
        <v>0</v>
      </c>
      <c r="AA62" s="827"/>
      <c r="AB62" s="827"/>
      <c r="AC62" s="827"/>
      <c r="AD62" s="827"/>
      <c r="AE62" s="828"/>
    </row>
    <row r="63" spans="3:24" ht="18" customHeight="1" thickBot="1"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4"/>
      <c r="T63" s="114"/>
      <c r="U63" s="114"/>
      <c r="V63" s="114"/>
      <c r="W63" s="114"/>
      <c r="X63" s="114"/>
    </row>
    <row r="64" spans="3:31" ht="18" customHeight="1" thickBot="1"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819" t="s">
        <v>219</v>
      </c>
      <c r="N64" s="820"/>
      <c r="O64" s="820"/>
      <c r="P64" s="820"/>
      <c r="Q64" s="820"/>
      <c r="R64" s="820"/>
      <c r="S64" s="822">
        <f>S62-S60</f>
        <v>0</v>
      </c>
      <c r="T64" s="823"/>
      <c r="U64" s="823"/>
      <c r="V64" s="823"/>
      <c r="W64" s="823"/>
      <c r="X64" s="824"/>
      <c r="Z64" s="826">
        <f>INT(S64*AC$60/AE$60)</f>
        <v>0</v>
      </c>
      <c r="AA64" s="827"/>
      <c r="AB64" s="827"/>
      <c r="AC64" s="827"/>
      <c r="AD64" s="827"/>
      <c r="AE64" s="828"/>
    </row>
    <row r="65" spans="3:24" ht="18" customHeight="1">
      <c r="C65" s="109"/>
      <c r="D65" s="109"/>
      <c r="E65" s="109"/>
      <c r="F65" s="109"/>
      <c r="G65" s="109"/>
      <c r="H65" s="109"/>
      <c r="I65" s="109"/>
      <c r="J65" s="109"/>
      <c r="K65" s="109"/>
      <c r="L65" s="113"/>
      <c r="M65" s="109"/>
      <c r="N65" s="109"/>
      <c r="O65" s="109"/>
      <c r="P65" s="109"/>
      <c r="Q65" s="109"/>
      <c r="R65" s="109"/>
      <c r="S65" s="115"/>
      <c r="T65" s="116"/>
      <c r="U65" s="116"/>
      <c r="V65" s="116"/>
      <c r="W65" s="116"/>
      <c r="X65" s="116"/>
    </row>
  </sheetData>
  <sheetProtection password="CBAE" sheet="1" selectLockedCells="1"/>
  <mergeCells count="211">
    <mergeCell ref="B1:X1"/>
    <mergeCell ref="B2:X2"/>
    <mergeCell ref="B5:T5"/>
    <mergeCell ref="U5:X5"/>
    <mergeCell ref="C6:J6"/>
    <mergeCell ref="K6:M6"/>
    <mergeCell ref="N6:P6"/>
    <mergeCell ref="AB8:AC8"/>
    <mergeCell ref="Q6:T6"/>
    <mergeCell ref="N8:P8"/>
    <mergeCell ref="Q8:T8"/>
    <mergeCell ref="U8:X8"/>
    <mergeCell ref="Y8:Z8"/>
    <mergeCell ref="Y6:AC6"/>
    <mergeCell ref="U6:X6"/>
    <mergeCell ref="Y7:Z7"/>
    <mergeCell ref="AB7:AC7"/>
    <mergeCell ref="U9:X9"/>
    <mergeCell ref="Y9:Z9"/>
    <mergeCell ref="C7:J7"/>
    <mergeCell ref="K7:M7"/>
    <mergeCell ref="N7:P7"/>
    <mergeCell ref="Q7:T7"/>
    <mergeCell ref="U7:X7"/>
    <mergeCell ref="AB9:AC9"/>
    <mergeCell ref="C8:J8"/>
    <mergeCell ref="K8:M8"/>
    <mergeCell ref="Q10:R10"/>
    <mergeCell ref="S10:X10"/>
    <mergeCell ref="B11:T11"/>
    <mergeCell ref="C9:J9"/>
    <mergeCell ref="K9:M9"/>
    <mergeCell ref="N9:P9"/>
    <mergeCell ref="Q9:T9"/>
    <mergeCell ref="C12:J12"/>
    <mergeCell ref="K12:M12"/>
    <mergeCell ref="N12:P12"/>
    <mergeCell ref="Q12:T12"/>
    <mergeCell ref="U12:X12"/>
    <mergeCell ref="Y12:AC12"/>
    <mergeCell ref="B13:B15"/>
    <mergeCell ref="C13:J15"/>
    <mergeCell ref="K13:M15"/>
    <mergeCell ref="N13:P15"/>
    <mergeCell ref="R13:T13"/>
    <mergeCell ref="U13:X15"/>
    <mergeCell ref="Y13:Z13"/>
    <mergeCell ref="AB13:AC13"/>
    <mergeCell ref="R14:T14"/>
    <mergeCell ref="Y14:AC15"/>
    <mergeCell ref="R15:T15"/>
    <mergeCell ref="B16:B18"/>
    <mergeCell ref="C16:J18"/>
    <mergeCell ref="K16:M18"/>
    <mergeCell ref="N16:P18"/>
    <mergeCell ref="R16:T16"/>
    <mergeCell ref="U16:X18"/>
    <mergeCell ref="Y16:Z16"/>
    <mergeCell ref="AB16:AC16"/>
    <mergeCell ref="R17:T17"/>
    <mergeCell ref="Y17:AC18"/>
    <mergeCell ref="R18:T18"/>
    <mergeCell ref="Q19:R19"/>
    <mergeCell ref="S19:X19"/>
    <mergeCell ref="B20:T20"/>
    <mergeCell ref="C21:H21"/>
    <mergeCell ref="I21:K21"/>
    <mergeCell ref="L21:O21"/>
    <mergeCell ref="P21:T21"/>
    <mergeCell ref="U21:X21"/>
    <mergeCell ref="C22:H22"/>
    <mergeCell ref="I22:K22"/>
    <mergeCell ref="L22:O22"/>
    <mergeCell ref="P22:T22"/>
    <mergeCell ref="U22:X22"/>
    <mergeCell ref="C23:H23"/>
    <mergeCell ref="I23:K23"/>
    <mergeCell ref="L23:O23"/>
    <mergeCell ref="P23:T23"/>
    <mergeCell ref="U23:X23"/>
    <mergeCell ref="C24:H24"/>
    <mergeCell ref="I24:K24"/>
    <mergeCell ref="L24:O24"/>
    <mergeCell ref="P24:T24"/>
    <mergeCell ref="U24:X24"/>
    <mergeCell ref="S25:T25"/>
    <mergeCell ref="U25:X25"/>
    <mergeCell ref="B26:T26"/>
    <mergeCell ref="C27:H27"/>
    <mergeCell ref="I27:K27"/>
    <mergeCell ref="L27:R27"/>
    <mergeCell ref="S27:X27"/>
    <mergeCell ref="C28:H28"/>
    <mergeCell ref="I28:K28"/>
    <mergeCell ref="L28:R28"/>
    <mergeCell ref="S28:X28"/>
    <mergeCell ref="C29:H29"/>
    <mergeCell ref="I29:K29"/>
    <mergeCell ref="L29:R29"/>
    <mergeCell ref="S29:X29"/>
    <mergeCell ref="C30:H30"/>
    <mergeCell ref="I30:K30"/>
    <mergeCell ref="L30:R30"/>
    <mergeCell ref="S30:X30"/>
    <mergeCell ref="C31:H31"/>
    <mergeCell ref="I31:K31"/>
    <mergeCell ref="L31:R31"/>
    <mergeCell ref="S31:X31"/>
    <mergeCell ref="C32:H32"/>
    <mergeCell ref="I32:K32"/>
    <mergeCell ref="L32:R32"/>
    <mergeCell ref="S32:X32"/>
    <mergeCell ref="Q33:R33"/>
    <mergeCell ref="S33:X33"/>
    <mergeCell ref="B34:T34"/>
    <mergeCell ref="U34:X34"/>
    <mergeCell ref="C35:H35"/>
    <mergeCell ref="I35:K35"/>
    <mergeCell ref="L35:R35"/>
    <mergeCell ref="S35:X35"/>
    <mergeCell ref="C36:H36"/>
    <mergeCell ref="I36:K36"/>
    <mergeCell ref="L36:R36"/>
    <mergeCell ref="S36:X36"/>
    <mergeCell ref="C37:H37"/>
    <mergeCell ref="I37:K37"/>
    <mergeCell ref="L37:R37"/>
    <mergeCell ref="S37:X37"/>
    <mergeCell ref="C38:H38"/>
    <mergeCell ref="I38:K38"/>
    <mergeCell ref="L38:R38"/>
    <mergeCell ref="S38:X38"/>
    <mergeCell ref="C39:H39"/>
    <mergeCell ref="I39:K39"/>
    <mergeCell ref="L39:R39"/>
    <mergeCell ref="S39:X39"/>
    <mergeCell ref="C40:H40"/>
    <mergeCell ref="I40:K40"/>
    <mergeCell ref="L40:R40"/>
    <mergeCell ref="S40:X40"/>
    <mergeCell ref="Q41:R41"/>
    <mergeCell ref="S41:X41"/>
    <mergeCell ref="B42:T42"/>
    <mergeCell ref="C43:H43"/>
    <mergeCell ref="I43:K43"/>
    <mergeCell ref="L43:R43"/>
    <mergeCell ref="S43:X43"/>
    <mergeCell ref="C44:H44"/>
    <mergeCell ref="I44:K44"/>
    <mergeCell ref="L44:R44"/>
    <mergeCell ref="S44:X44"/>
    <mergeCell ref="C45:H45"/>
    <mergeCell ref="I45:K45"/>
    <mergeCell ref="L45:R45"/>
    <mergeCell ref="S45:X45"/>
    <mergeCell ref="C46:H46"/>
    <mergeCell ref="I46:K46"/>
    <mergeCell ref="L46:R46"/>
    <mergeCell ref="S46:X46"/>
    <mergeCell ref="Q47:R47"/>
    <mergeCell ref="S47:X47"/>
    <mergeCell ref="B48:T48"/>
    <mergeCell ref="C49:H49"/>
    <mergeCell ref="I49:K49"/>
    <mergeCell ref="L49:R49"/>
    <mergeCell ref="S49:X49"/>
    <mergeCell ref="C50:H50"/>
    <mergeCell ref="I50:K50"/>
    <mergeCell ref="L50:R50"/>
    <mergeCell ref="S50:X50"/>
    <mergeCell ref="C51:H51"/>
    <mergeCell ref="I51:K51"/>
    <mergeCell ref="L51:R51"/>
    <mergeCell ref="S51:X51"/>
    <mergeCell ref="C52:H52"/>
    <mergeCell ref="I52:K52"/>
    <mergeCell ref="L52:R52"/>
    <mergeCell ref="S52:X52"/>
    <mergeCell ref="C53:H53"/>
    <mergeCell ref="I53:K53"/>
    <mergeCell ref="L53:R53"/>
    <mergeCell ref="S53:X53"/>
    <mergeCell ref="L58:R58"/>
    <mergeCell ref="S58:X58"/>
    <mergeCell ref="Q54:R54"/>
    <mergeCell ref="S54:X54"/>
    <mergeCell ref="B55:T55"/>
    <mergeCell ref="C56:H56"/>
    <mergeCell ref="I56:K56"/>
    <mergeCell ref="L56:R56"/>
    <mergeCell ref="S56:X56"/>
    <mergeCell ref="L59:R59"/>
    <mergeCell ref="S59:X59"/>
    <mergeCell ref="Q60:R60"/>
    <mergeCell ref="S60:X60"/>
    <mergeCell ref="C57:H57"/>
    <mergeCell ref="I57:K57"/>
    <mergeCell ref="L57:R57"/>
    <mergeCell ref="S57:X57"/>
    <mergeCell ref="C58:H58"/>
    <mergeCell ref="I58:K58"/>
    <mergeCell ref="O62:R62"/>
    <mergeCell ref="S62:X62"/>
    <mergeCell ref="M64:R64"/>
    <mergeCell ref="S64:X64"/>
    <mergeCell ref="B4:X4"/>
    <mergeCell ref="Z62:AE62"/>
    <mergeCell ref="Z64:AE64"/>
    <mergeCell ref="Z60:AB60"/>
    <mergeCell ref="C59:H59"/>
    <mergeCell ref="I59:K59"/>
  </mergeCells>
  <dataValidations count="1">
    <dataValidation type="list" allowBlank="1" showInputMessage="1" showErrorMessage="1" sqref="I28:K32">
      <formula1>"普通,当座,別段,貯蓄"</formula1>
    </dataValidation>
  </dataValidations>
  <printOptions/>
  <pageMargins left="0.7874015748031497" right="0" top="0.5905511811023623" bottom="0.1968503937007874" header="0.5118110236220472" footer="0.5118110236220472"/>
  <pageSetup horizontalDpi="300" verticalDpi="3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SheetLayoutView="100" workbookViewId="0" topLeftCell="A1">
      <selection activeCell="D3" sqref="D3:F3"/>
    </sheetView>
  </sheetViews>
  <sheetFormatPr defaultColWidth="9.140625" defaultRowHeight="15"/>
  <cols>
    <col min="1" max="1" width="2.421875" style="54" bestFit="1" customWidth="1"/>
    <col min="2" max="2" width="3.7109375" style="54" bestFit="1" customWidth="1"/>
    <col min="3" max="3" width="9.140625" style="54" bestFit="1" customWidth="1"/>
    <col min="4" max="6" width="10.57421875" style="54" customWidth="1"/>
    <col min="7" max="7" width="3.7109375" style="54" customWidth="1"/>
    <col min="8" max="8" width="9.140625" style="54" customWidth="1"/>
    <col min="9" max="11" width="10.57421875" style="54" customWidth="1"/>
    <col min="12" max="12" width="2.421875" style="54" bestFit="1" customWidth="1"/>
    <col min="13" max="16384" width="9.00390625" style="54" customWidth="1"/>
  </cols>
  <sheetData>
    <row r="1" spans="1:12" ht="19.5" customHeight="1" thickBot="1">
      <c r="A1" s="117" t="s">
        <v>220</v>
      </c>
      <c r="B1" s="123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1" ht="24" customHeight="1">
      <c r="B2" s="770" t="s">
        <v>223</v>
      </c>
      <c r="C2" s="771"/>
      <c r="D2" s="772"/>
      <c r="E2" s="772"/>
      <c r="F2" s="773"/>
      <c r="G2" s="774" t="s">
        <v>277</v>
      </c>
      <c r="H2" s="775"/>
      <c r="I2" s="776"/>
      <c r="J2" s="776"/>
      <c r="K2" s="777"/>
    </row>
    <row r="3" spans="2:11" ht="24" customHeight="1">
      <c r="B3" s="752" t="s">
        <v>225</v>
      </c>
      <c r="C3" s="753"/>
      <c r="D3" s="754"/>
      <c r="E3" s="755"/>
      <c r="F3" s="756"/>
      <c r="G3" s="757" t="s">
        <v>115</v>
      </c>
      <c r="H3" s="758"/>
      <c r="I3" s="754"/>
      <c r="J3" s="755"/>
      <c r="K3" s="756"/>
    </row>
    <row r="4" spans="2:11" ht="24" customHeight="1">
      <c r="B4" s="752" t="s">
        <v>226</v>
      </c>
      <c r="C4" s="753"/>
      <c r="D4" s="754"/>
      <c r="E4" s="755"/>
      <c r="F4" s="756"/>
      <c r="G4" s="761" t="s">
        <v>116</v>
      </c>
      <c r="H4" s="762"/>
      <c r="I4" s="754"/>
      <c r="J4" s="755"/>
      <c r="K4" s="756"/>
    </row>
    <row r="5" spans="2:11" ht="24" customHeight="1">
      <c r="B5" s="767" t="s">
        <v>227</v>
      </c>
      <c r="C5" s="66" t="s">
        <v>118</v>
      </c>
      <c r="D5" s="754"/>
      <c r="E5" s="755"/>
      <c r="F5" s="756"/>
      <c r="G5" s="768" t="s">
        <v>117</v>
      </c>
      <c r="H5" s="67" t="s">
        <v>118</v>
      </c>
      <c r="I5" s="754"/>
      <c r="J5" s="755"/>
      <c r="K5" s="756"/>
    </row>
    <row r="6" spans="2:11" ht="24" customHeight="1">
      <c r="B6" s="752"/>
      <c r="C6" s="66" t="s">
        <v>229</v>
      </c>
      <c r="D6" s="754"/>
      <c r="E6" s="755"/>
      <c r="F6" s="756"/>
      <c r="G6" s="757"/>
      <c r="H6" s="67" t="s">
        <v>119</v>
      </c>
      <c r="I6" s="754"/>
      <c r="J6" s="755"/>
      <c r="K6" s="756"/>
    </row>
    <row r="7" spans="2:11" ht="24" customHeight="1">
      <c r="B7" s="752"/>
      <c r="C7" s="66" t="s">
        <v>230</v>
      </c>
      <c r="D7" s="754"/>
      <c r="E7" s="755"/>
      <c r="F7" s="756"/>
      <c r="G7" s="757"/>
      <c r="H7" s="67" t="s">
        <v>120</v>
      </c>
      <c r="I7" s="754"/>
      <c r="J7" s="755"/>
      <c r="K7" s="756"/>
    </row>
    <row r="8" spans="2:11" ht="24" customHeight="1">
      <c r="B8" s="763" t="s">
        <v>231</v>
      </c>
      <c r="C8" s="66" t="s">
        <v>232</v>
      </c>
      <c r="D8" s="754"/>
      <c r="E8" s="755"/>
      <c r="F8" s="756"/>
      <c r="G8" s="765" t="s">
        <v>231</v>
      </c>
      <c r="H8" s="67" t="s">
        <v>232</v>
      </c>
      <c r="I8" s="754"/>
      <c r="J8" s="755"/>
      <c r="K8" s="756"/>
    </row>
    <row r="9" spans="2:11" ht="24" customHeight="1">
      <c r="B9" s="764"/>
      <c r="C9" s="66" t="s">
        <v>233</v>
      </c>
      <c r="D9" s="754"/>
      <c r="E9" s="755"/>
      <c r="F9" s="756"/>
      <c r="G9" s="766"/>
      <c r="H9" s="67" t="s">
        <v>233</v>
      </c>
      <c r="I9" s="754"/>
      <c r="J9" s="755"/>
      <c r="K9" s="756"/>
    </row>
    <row r="10" spans="2:11" ht="24" customHeight="1">
      <c r="B10" s="759" t="s">
        <v>234</v>
      </c>
      <c r="C10" s="760"/>
      <c r="D10" s="754"/>
      <c r="E10" s="755"/>
      <c r="F10" s="756"/>
      <c r="G10" s="761" t="s">
        <v>121</v>
      </c>
      <c r="H10" s="762"/>
      <c r="I10" s="754"/>
      <c r="J10" s="755"/>
      <c r="K10" s="756"/>
    </row>
    <row r="11" spans="2:11" ht="24" customHeight="1">
      <c r="B11" s="752" t="s">
        <v>235</v>
      </c>
      <c r="C11" s="753"/>
      <c r="D11" s="1009"/>
      <c r="E11" s="1010"/>
      <c r="F11" s="1011"/>
      <c r="G11" s="761" t="s">
        <v>122</v>
      </c>
      <c r="H11" s="762"/>
      <c r="I11" s="1009"/>
      <c r="J11" s="1010"/>
      <c r="K11" s="1011"/>
    </row>
    <row r="12" spans="2:11" ht="24" customHeight="1" thickBot="1">
      <c r="B12" s="1002" t="s">
        <v>236</v>
      </c>
      <c r="C12" s="1003"/>
      <c r="D12" s="1004"/>
      <c r="E12" s="1005"/>
      <c r="F12" s="1006"/>
      <c r="G12" s="1007" t="s">
        <v>125</v>
      </c>
      <c r="H12" s="1008"/>
      <c r="I12" s="1004"/>
      <c r="J12" s="1005"/>
      <c r="K12" s="1006"/>
    </row>
    <row r="13" spans="2:11" ht="15.75" customHeight="1">
      <c r="B13" s="988" t="s">
        <v>337</v>
      </c>
      <c r="C13" s="989"/>
      <c r="D13" s="989"/>
      <c r="E13" s="989"/>
      <c r="F13" s="989"/>
      <c r="G13" s="989"/>
      <c r="H13" s="989"/>
      <c r="I13" s="989"/>
      <c r="J13" s="989"/>
      <c r="K13" s="990"/>
    </row>
    <row r="14" spans="2:11" ht="15.75" customHeight="1">
      <c r="B14" s="149" t="s">
        <v>377</v>
      </c>
      <c r="C14" s="148" t="s">
        <v>338</v>
      </c>
      <c r="D14" s="979" t="s">
        <v>340</v>
      </c>
      <c r="E14" s="979"/>
      <c r="F14" s="979"/>
      <c r="G14" s="991" t="s">
        <v>347</v>
      </c>
      <c r="H14" s="991"/>
      <c r="I14" s="991"/>
      <c r="J14" s="991"/>
      <c r="K14" s="992"/>
    </row>
    <row r="15" spans="2:11" ht="15.75" customHeight="1" thickBot="1">
      <c r="B15" s="150" t="s">
        <v>377</v>
      </c>
      <c r="C15" s="151" t="s">
        <v>339</v>
      </c>
      <c r="D15" s="980" t="s">
        <v>341</v>
      </c>
      <c r="E15" s="980"/>
      <c r="F15" s="980"/>
      <c r="G15" s="993"/>
      <c r="H15" s="993"/>
      <c r="I15" s="993"/>
      <c r="J15" s="993"/>
      <c r="K15" s="994"/>
    </row>
    <row r="16" ht="12" customHeight="1" thickBot="1"/>
    <row r="17" spans="2:11" ht="24" customHeight="1" thickBot="1">
      <c r="B17" s="712" t="s">
        <v>279</v>
      </c>
      <c r="C17" s="713"/>
      <c r="D17" s="713"/>
      <c r="E17" s="713"/>
      <c r="F17" s="713"/>
      <c r="G17" s="713"/>
      <c r="H17" s="713"/>
      <c r="I17" s="713"/>
      <c r="J17" s="713"/>
      <c r="K17" s="714"/>
    </row>
    <row r="18" spans="2:11" ht="24" customHeight="1">
      <c r="B18" s="800" t="s">
        <v>280</v>
      </c>
      <c r="C18" s="101" t="s">
        <v>115</v>
      </c>
      <c r="D18" s="803"/>
      <c r="E18" s="804"/>
      <c r="F18" s="805"/>
      <c r="G18" s="800" t="s">
        <v>281</v>
      </c>
      <c r="H18" s="101" t="s">
        <v>115</v>
      </c>
      <c r="I18" s="803"/>
      <c r="J18" s="804"/>
      <c r="K18" s="805"/>
    </row>
    <row r="19" spans="2:11" ht="24" customHeight="1">
      <c r="B19" s="801"/>
      <c r="C19" s="102" t="s">
        <v>116</v>
      </c>
      <c r="D19" s="729"/>
      <c r="E19" s="730"/>
      <c r="F19" s="731"/>
      <c r="G19" s="801"/>
      <c r="H19" s="102" t="s">
        <v>116</v>
      </c>
      <c r="I19" s="729"/>
      <c r="J19" s="730"/>
      <c r="K19" s="731"/>
    </row>
    <row r="20" spans="2:11" ht="24" customHeight="1">
      <c r="B20" s="801"/>
      <c r="C20" s="102" t="s">
        <v>122</v>
      </c>
      <c r="D20" s="806"/>
      <c r="E20" s="807"/>
      <c r="F20" s="808"/>
      <c r="G20" s="801"/>
      <c r="H20" s="102" t="s">
        <v>122</v>
      </c>
      <c r="I20" s="806"/>
      <c r="J20" s="807"/>
      <c r="K20" s="808"/>
    </row>
    <row r="21" spans="2:11" ht="24" customHeight="1">
      <c r="B21" s="801"/>
      <c r="C21" s="102" t="s">
        <v>123</v>
      </c>
      <c r="D21" s="797"/>
      <c r="E21" s="798"/>
      <c r="F21" s="799"/>
      <c r="G21" s="801"/>
      <c r="H21" s="102" t="s">
        <v>123</v>
      </c>
      <c r="I21" s="797"/>
      <c r="J21" s="798"/>
      <c r="K21" s="799"/>
    </row>
    <row r="22" spans="2:11" ht="24" customHeight="1">
      <c r="B22" s="801"/>
      <c r="C22" s="102" t="s">
        <v>284</v>
      </c>
      <c r="D22" s="729"/>
      <c r="E22" s="730"/>
      <c r="F22" s="731"/>
      <c r="G22" s="801"/>
      <c r="H22" s="102" t="s">
        <v>284</v>
      </c>
      <c r="I22" s="729"/>
      <c r="J22" s="730"/>
      <c r="K22" s="731"/>
    </row>
    <row r="23" spans="2:11" ht="24" customHeight="1">
      <c r="B23" s="801"/>
      <c r="C23" s="102" t="s">
        <v>286</v>
      </c>
      <c r="D23" s="86" t="s">
        <v>287</v>
      </c>
      <c r="E23" s="998" t="s">
        <v>253</v>
      </c>
      <c r="F23" s="1000"/>
      <c r="G23" s="801"/>
      <c r="H23" s="102" t="s">
        <v>286</v>
      </c>
      <c r="I23" s="86" t="s">
        <v>287</v>
      </c>
      <c r="J23" s="998" t="s">
        <v>253</v>
      </c>
      <c r="K23" s="1000"/>
    </row>
    <row r="24" spans="2:11" ht="24" customHeight="1">
      <c r="B24" s="801"/>
      <c r="C24" s="102" t="s">
        <v>289</v>
      </c>
      <c r="D24" s="995" t="s">
        <v>251</v>
      </c>
      <c r="E24" s="996"/>
      <c r="F24" s="997"/>
      <c r="G24" s="801"/>
      <c r="H24" s="102" t="s">
        <v>289</v>
      </c>
      <c r="I24" s="995" t="s">
        <v>251</v>
      </c>
      <c r="J24" s="996"/>
      <c r="K24" s="997"/>
    </row>
    <row r="25" spans="2:11" ht="24" customHeight="1">
      <c r="B25" s="801"/>
      <c r="C25" s="102" t="s">
        <v>290</v>
      </c>
      <c r="D25" s="998" t="s">
        <v>457</v>
      </c>
      <c r="E25" s="999"/>
      <c r="F25" s="1000"/>
      <c r="G25" s="801"/>
      <c r="H25" s="102" t="s">
        <v>290</v>
      </c>
      <c r="I25" s="998" t="s">
        <v>457</v>
      </c>
      <c r="J25" s="999"/>
      <c r="K25" s="1000"/>
    </row>
    <row r="26" spans="2:11" ht="24" customHeight="1">
      <c r="B26" s="801"/>
      <c r="C26" s="94" t="s">
        <v>241</v>
      </c>
      <c r="D26" s="792"/>
      <c r="E26" s="793"/>
      <c r="F26" s="794"/>
      <c r="G26" s="801"/>
      <c r="H26" s="102" t="s">
        <v>241</v>
      </c>
      <c r="I26" s="792"/>
      <c r="J26" s="793"/>
      <c r="K26" s="794"/>
    </row>
    <row r="27" spans="2:11" ht="24" customHeight="1">
      <c r="B27" s="801"/>
      <c r="C27" s="985" t="s">
        <v>291</v>
      </c>
      <c r="D27" s="152" t="s">
        <v>258</v>
      </c>
      <c r="E27" s="981"/>
      <c r="F27" s="982"/>
      <c r="G27" s="801"/>
      <c r="H27" s="985" t="s">
        <v>291</v>
      </c>
      <c r="I27" s="152" t="s">
        <v>258</v>
      </c>
      <c r="J27" s="981"/>
      <c r="K27" s="982"/>
    </row>
    <row r="28" spans="2:11" ht="24" customHeight="1">
      <c r="B28" s="801"/>
      <c r="C28" s="986"/>
      <c r="D28" s="152" t="s">
        <v>259</v>
      </c>
      <c r="E28" s="981"/>
      <c r="F28" s="982"/>
      <c r="G28" s="801"/>
      <c r="H28" s="986"/>
      <c r="I28" s="152" t="s">
        <v>259</v>
      </c>
      <c r="J28" s="981"/>
      <c r="K28" s="982"/>
    </row>
    <row r="29" spans="2:11" ht="24" customHeight="1">
      <c r="B29" s="801"/>
      <c r="C29" s="986"/>
      <c r="D29" s="152" t="s">
        <v>260</v>
      </c>
      <c r="E29" s="981" t="s">
        <v>343</v>
      </c>
      <c r="F29" s="982"/>
      <c r="G29" s="801"/>
      <c r="H29" s="986"/>
      <c r="I29" s="152" t="s">
        <v>260</v>
      </c>
      <c r="J29" s="981" t="s">
        <v>343</v>
      </c>
      <c r="K29" s="982"/>
    </row>
    <row r="30" spans="2:11" ht="24" customHeight="1">
      <c r="B30" s="801"/>
      <c r="C30" s="986"/>
      <c r="D30" s="152" t="s">
        <v>261</v>
      </c>
      <c r="E30" s="981"/>
      <c r="F30" s="982"/>
      <c r="G30" s="801"/>
      <c r="H30" s="986"/>
      <c r="I30" s="152" t="s">
        <v>261</v>
      </c>
      <c r="J30" s="981"/>
      <c r="K30" s="982"/>
    </row>
    <row r="31" spans="2:11" ht="24" customHeight="1">
      <c r="B31" s="801"/>
      <c r="C31" s="987"/>
      <c r="D31" s="153" t="s">
        <v>262</v>
      </c>
      <c r="E31" s="981"/>
      <c r="F31" s="982"/>
      <c r="G31" s="801"/>
      <c r="H31" s="987"/>
      <c r="I31" s="153" t="s">
        <v>262</v>
      </c>
      <c r="J31" s="981"/>
      <c r="K31" s="982"/>
    </row>
    <row r="32" spans="2:11" ht="24" customHeight="1">
      <c r="B32" s="801"/>
      <c r="C32" s="809" t="s">
        <v>292</v>
      </c>
      <c r="D32" s="85" t="s">
        <v>287</v>
      </c>
      <c r="E32" s="785" t="s">
        <v>293</v>
      </c>
      <c r="F32" s="786"/>
      <c r="G32" s="801"/>
      <c r="H32" s="809" t="s">
        <v>292</v>
      </c>
      <c r="I32" s="85" t="s">
        <v>287</v>
      </c>
      <c r="J32" s="785" t="s">
        <v>293</v>
      </c>
      <c r="K32" s="786"/>
    </row>
    <row r="33" spans="2:11" ht="24" customHeight="1">
      <c r="B33" s="801"/>
      <c r="C33" s="809"/>
      <c r="D33" s="64" t="s">
        <v>342</v>
      </c>
      <c r="E33" s="702" t="s">
        <v>90</v>
      </c>
      <c r="F33" s="704"/>
      <c r="G33" s="801"/>
      <c r="H33" s="809"/>
      <c r="I33" s="64" t="s">
        <v>342</v>
      </c>
      <c r="J33" s="702" t="s">
        <v>90</v>
      </c>
      <c r="K33" s="704"/>
    </row>
    <row r="34" spans="2:11" ht="24" customHeight="1">
      <c r="B34" s="801"/>
      <c r="C34" s="809"/>
      <c r="D34" s="64"/>
      <c r="E34" s="702" t="s">
        <v>90</v>
      </c>
      <c r="F34" s="704"/>
      <c r="G34" s="801"/>
      <c r="H34" s="809"/>
      <c r="I34" s="64"/>
      <c r="J34" s="702" t="s">
        <v>90</v>
      </c>
      <c r="K34" s="704"/>
    </row>
    <row r="35" spans="2:11" ht="24" customHeight="1" thickBot="1">
      <c r="B35" s="801"/>
      <c r="C35" s="1001" t="s">
        <v>398</v>
      </c>
      <c r="D35" s="700"/>
      <c r="E35" s="983" t="s">
        <v>346</v>
      </c>
      <c r="F35" s="984"/>
      <c r="G35" s="801"/>
      <c r="H35" s="1001" t="s">
        <v>398</v>
      </c>
      <c r="I35" s="700"/>
      <c r="J35" s="983" t="s">
        <v>346</v>
      </c>
      <c r="K35" s="984"/>
    </row>
    <row r="36" spans="2:11" ht="24" customHeight="1" thickBot="1">
      <c r="B36" s="975" t="s">
        <v>399</v>
      </c>
      <c r="C36" s="976"/>
      <c r="D36" s="976"/>
      <c r="E36" s="977" t="s">
        <v>400</v>
      </c>
      <c r="F36" s="977"/>
      <c r="G36" s="977"/>
      <c r="H36" s="977"/>
      <c r="I36" s="977"/>
      <c r="J36" s="977"/>
      <c r="K36" s="978"/>
    </row>
    <row r="37" ht="12" customHeight="1"/>
    <row r="38" spans="2:11" ht="24" customHeight="1">
      <c r="B38" s="697" t="s">
        <v>126</v>
      </c>
      <c r="C38" s="698"/>
      <c r="D38" s="698"/>
      <c r="E38" s="698"/>
      <c r="F38" s="698"/>
      <c r="G38" s="698"/>
      <c r="H38" s="698"/>
      <c r="I38" s="698"/>
      <c r="J38" s="698"/>
      <c r="K38" s="699"/>
    </row>
    <row r="39" spans="2:11" ht="24" customHeight="1">
      <c r="B39" s="1012"/>
      <c r="C39" s="1013"/>
      <c r="D39" s="1013"/>
      <c r="E39" s="1013"/>
      <c r="F39" s="1013"/>
      <c r="G39" s="1013"/>
      <c r="H39" s="1013"/>
      <c r="I39" s="1013"/>
      <c r="J39" s="1013"/>
      <c r="K39" s="1014"/>
    </row>
    <row r="40" spans="2:11" ht="24" customHeight="1">
      <c r="B40" s="1015"/>
      <c r="C40" s="1016"/>
      <c r="D40" s="1016"/>
      <c r="E40" s="1016"/>
      <c r="F40" s="1016"/>
      <c r="G40" s="1016"/>
      <c r="H40" s="1016"/>
      <c r="I40" s="1016"/>
      <c r="J40" s="1016"/>
      <c r="K40" s="101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5.75" customHeight="1"/>
    <row r="57" ht="15.75" customHeight="1"/>
    <row r="58" ht="15.75" customHeight="1"/>
  </sheetData>
  <sheetProtection/>
  <mergeCells count="90">
    <mergeCell ref="B39:K39"/>
    <mergeCell ref="B40:K40"/>
    <mergeCell ref="B2:F2"/>
    <mergeCell ref="G2:K2"/>
    <mergeCell ref="G4:H4"/>
    <mergeCell ref="I4:K4"/>
    <mergeCell ref="D7:F7"/>
    <mergeCell ref="D6:F6"/>
    <mergeCell ref="I6:K6"/>
    <mergeCell ref="B5:B7"/>
    <mergeCell ref="D20:F20"/>
    <mergeCell ref="I18:K18"/>
    <mergeCell ref="I20:K20"/>
    <mergeCell ref="B4:C4"/>
    <mergeCell ref="D4:F4"/>
    <mergeCell ref="B3:C3"/>
    <mergeCell ref="D3:F3"/>
    <mergeCell ref="G3:H3"/>
    <mergeCell ref="I3:K3"/>
    <mergeCell ref="D5:F5"/>
    <mergeCell ref="G5:G7"/>
    <mergeCell ref="I5:K5"/>
    <mergeCell ref="D9:F9"/>
    <mergeCell ref="I9:K9"/>
    <mergeCell ref="B8:B9"/>
    <mergeCell ref="D8:F8"/>
    <mergeCell ref="G8:G9"/>
    <mergeCell ref="I8:K8"/>
    <mergeCell ref="I7:K7"/>
    <mergeCell ref="B11:C11"/>
    <mergeCell ref="D11:F11"/>
    <mergeCell ref="B10:C10"/>
    <mergeCell ref="D10:F10"/>
    <mergeCell ref="G10:H10"/>
    <mergeCell ref="I10:K10"/>
    <mergeCell ref="G11:H11"/>
    <mergeCell ref="I11:K11"/>
    <mergeCell ref="D19:F19"/>
    <mergeCell ref="I19:K19"/>
    <mergeCell ref="B17:K17"/>
    <mergeCell ref="B18:B35"/>
    <mergeCell ref="G18:G35"/>
    <mergeCell ref="B12:C12"/>
    <mergeCell ref="D12:F12"/>
    <mergeCell ref="G12:H12"/>
    <mergeCell ref="I12:K12"/>
    <mergeCell ref="D18:F18"/>
    <mergeCell ref="I21:K21"/>
    <mergeCell ref="D22:F22"/>
    <mergeCell ref="I22:K22"/>
    <mergeCell ref="D26:F26"/>
    <mergeCell ref="I26:K26"/>
    <mergeCell ref="D24:F24"/>
    <mergeCell ref="B38:K38"/>
    <mergeCell ref="E33:F33"/>
    <mergeCell ref="J33:K33"/>
    <mergeCell ref="E34:F34"/>
    <mergeCell ref="J34:K34"/>
    <mergeCell ref="E31:F31"/>
    <mergeCell ref="J31:K31"/>
    <mergeCell ref="H27:H31"/>
    <mergeCell ref="C35:D35"/>
    <mergeCell ref="H35:I35"/>
    <mergeCell ref="B13:K13"/>
    <mergeCell ref="G14:K15"/>
    <mergeCell ref="C32:C34"/>
    <mergeCell ref="E27:F27"/>
    <mergeCell ref="I24:K24"/>
    <mergeCell ref="D25:F25"/>
    <mergeCell ref="I25:K25"/>
    <mergeCell ref="E23:F23"/>
    <mergeCell ref="J23:K23"/>
    <mergeCell ref="D21:F21"/>
    <mergeCell ref="E35:F35"/>
    <mergeCell ref="J35:K35"/>
    <mergeCell ref="E28:F28"/>
    <mergeCell ref="J28:K28"/>
    <mergeCell ref="J32:K32"/>
    <mergeCell ref="C27:C31"/>
    <mergeCell ref="J30:K30"/>
    <mergeCell ref="B36:D36"/>
    <mergeCell ref="E36:K36"/>
    <mergeCell ref="D14:F14"/>
    <mergeCell ref="D15:F15"/>
    <mergeCell ref="E32:F32"/>
    <mergeCell ref="E29:F29"/>
    <mergeCell ref="J29:K29"/>
    <mergeCell ref="H32:H34"/>
    <mergeCell ref="J27:K27"/>
    <mergeCell ref="E30:F30"/>
  </mergeCells>
  <dataValidations count="5">
    <dataValidation allowBlank="1" showInputMessage="1" showErrorMessage="1" imeMode="off" sqref="D23 I23"/>
    <dataValidation allowBlank="1" showInputMessage="1" showErrorMessage="1" imeMode="on" sqref="H12:J12 C12:E12"/>
    <dataValidation type="list" allowBlank="1" showInputMessage="1" showErrorMessage="1" sqref="E36:K36">
      <formula1>"合意書　・　公証人の認証付き合意証書　・　公正証書,合意書,公証人の認証付き合意証書,公正証書,未定"</formula1>
    </dataValidation>
    <dataValidation type="list" allowBlank="1" showInputMessage="1" showErrorMessage="1" sqref="B14:B15">
      <formula1>"□,☑"</formula1>
    </dataValidation>
    <dataValidation type="list" allowBlank="1" showInputMessage="1" showErrorMessage="1" sqref="J33:K34 E33:F34">
      <formula1>"有り・無し,有り,無し"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  <headerFooter alignWithMargins="0">
    <oddHeader>&amp;L&amp;"TBP丸ｺﾞｼｯｸDE,太字"&amp;12養育費に関する合意書／必要事項記入シート&amp;R&amp;"ＭＳ Ｐゴシック,太字"&amp;12行政書士　東京中央法務オフィス</oddHeader>
    <oddFooter>&amp;Cメール：kotake@e-gyoseishoshi.com&amp;RFAX：03-6268-9018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271" customWidth="1"/>
  </cols>
  <sheetData>
    <row r="2" ht="16.5">
      <c r="B2" s="1057" t="str">
        <f>'夫婦間'!B2</f>
        <v>ご自身の内容</v>
      </c>
    </row>
    <row r="3" ht="14.25">
      <c r="B3" s="271" t="str">
        <f>'夫婦間'!D3&amp;"　"&amp;'夫婦間'!F3</f>
        <v>　</v>
      </c>
    </row>
    <row r="4" ht="14.25">
      <c r="B4" s="271" t="str">
        <f>'夫婦間'!D4&amp;"　"&amp;'夫婦間'!F4</f>
        <v>　</v>
      </c>
    </row>
    <row r="5" ht="14.25">
      <c r="B5" s="271" t="str">
        <f>'夫婦間'!D6&amp;"　"&amp;'夫婦間'!D7</f>
        <v>　</v>
      </c>
    </row>
    <row r="6" ht="14.25">
      <c r="B6" s="271">
        <f>IF('夫婦間'!D9="","",'夫婦間'!B9&amp;"　"&amp;WIDECHAR(YEAR('夫婦間'!D9))&amp;"年"&amp;WIDECHAR(MONTH('夫婦間'!D9))&amp;"月"&amp;WIDECHAR(DAY('夫婦間'!D9))&amp;"日生")</f>
      </c>
    </row>
    <row r="7" ht="14.25">
      <c r="B7" s="271">
        <f>IF('夫婦間'!D12="","",'夫婦間'!B12&amp;"　"&amp;'夫婦間'!D12)</f>
      </c>
    </row>
    <row r="10" ht="16.5">
      <c r="B10" s="1057" t="str">
        <f>'夫婦間'!G2</f>
        <v>配偶者の内容</v>
      </c>
    </row>
    <row r="11" ht="14.25">
      <c r="B11" s="271" t="str">
        <f>'夫婦間'!I3&amp;"　"&amp;'夫婦間'!K3</f>
        <v>　</v>
      </c>
    </row>
    <row r="12" ht="14.25">
      <c r="B12" s="271" t="str">
        <f>'夫婦間'!I4&amp;"　"&amp;'夫婦間'!K4</f>
        <v>　</v>
      </c>
    </row>
    <row r="13" ht="14.25">
      <c r="B13" s="271" t="str">
        <f>'夫婦間'!I6&amp;"　"&amp;'夫婦間'!I7</f>
        <v>　</v>
      </c>
    </row>
    <row r="14" ht="14.25">
      <c r="B14" s="271">
        <f>IF('夫婦間'!I9="","",'夫婦間'!G9&amp;"　"&amp;WIDECHAR(YEAR('夫婦間'!I9))&amp;"年"&amp;WIDECHAR(MONTH('夫婦間'!I9))&amp;"月"&amp;WIDECHAR(DAY('夫婦間'!I9))&amp;"日生")</f>
      </c>
    </row>
    <row r="15" ht="14.25">
      <c r="B15" s="271">
        <f>IF('夫婦間'!I12="","",'夫婦間'!G12&amp;"　"&amp;'夫婦間'!I12)</f>
      </c>
    </row>
    <row r="18" ht="16.5">
      <c r="B18" s="1057" t="str">
        <f>'夫婦間'!B13</f>
        <v>未成年のお子様の内容</v>
      </c>
    </row>
    <row r="19" ht="14.25">
      <c r="B19" s="271" t="str">
        <f>IF(COUNTA('夫婦間'!D14:E17)=0,"子ども無し",IF('夫婦間'!D14="","",'夫婦間'!D14&amp;"（"&amp;WIDECHAR(YEAR('夫婦間'!G14))&amp;"年"&amp;WIDECHAR(MONTH('夫婦間'!G14))&amp;"月"&amp;WIDECHAR(DAY('夫婦間'!G14))&amp;"日生）"))</f>
        <v>子ども無し</v>
      </c>
    </row>
    <row r="20" ht="14.25">
      <c r="B20" s="271">
        <f>IF('夫婦間'!D15="","",'夫婦間'!D15&amp;"（"&amp;WIDECHAR(YEAR('夫婦間'!G15))&amp;"年"&amp;WIDECHAR(MONTH('夫婦間'!G15))&amp;"月"&amp;WIDECHAR(DAY('夫婦間'!G15))&amp;"日生）")</f>
      </c>
    </row>
    <row r="21" ht="14.25">
      <c r="B21" s="271">
        <f>IF('夫婦間'!D16="","",'夫婦間'!D16&amp;"（"&amp;WIDECHAR(YEAR('夫婦間'!G16))&amp;"年"&amp;WIDECHAR(MONTH('夫婦間'!G16))&amp;"月"&amp;WIDECHAR(DAY('夫婦間'!G16))&amp;"日生）")</f>
      </c>
    </row>
    <row r="22" ht="14.25">
      <c r="B22" s="271">
        <f>IF('夫婦間'!D17="","",'夫婦間'!D17&amp;"（"&amp;WIDECHAR(YEAR('夫婦間'!G17))&amp;"年"&amp;WIDECHAR(MONTH('夫婦間'!G17))&amp;"月"&amp;WIDECHAR(DAY('夫婦間'!G17))&amp;"日生）")</f>
      </c>
    </row>
    <row r="24" ht="16.5">
      <c r="B24" s="1057" t="str">
        <f>'夫婦間'!B19</f>
        <v>別居・同居</v>
      </c>
    </row>
    <row r="25" ht="14.25">
      <c r="B25" s="271" t="str">
        <f>IF('夫婦間'!D19="○",'夫婦間'!E19&amp;"　"&amp;'夫婦間'!F19,IF('夫婦間'!D20="○",'夫婦間'!E20&amp;"　"&amp;'夫婦間'!F20,IF('夫婦間'!D21="○",'夫婦間'!E21&amp;"　"&amp;'夫婦間'!F21,"")))</f>
        <v>同居継続　</v>
      </c>
    </row>
    <row r="27" ht="16.5">
      <c r="B27" s="1057" t="str">
        <f>'夫婦間'!B22</f>
        <v>原因事実</v>
      </c>
    </row>
    <row r="28" ht="14.25">
      <c r="B28" s="271">
        <f>'夫婦間'!D23</f>
        <v>0</v>
      </c>
    </row>
    <row r="29" ht="14.25">
      <c r="B29" s="271">
        <f>'夫婦間'!D24</f>
        <v>0</v>
      </c>
    </row>
    <row r="31" ht="16.5">
      <c r="B31" s="1057" t="str">
        <f>'夫婦間'!B25</f>
        <v>誓約事項</v>
      </c>
    </row>
    <row r="32" ht="14.25">
      <c r="B32" s="271">
        <f>'夫婦間'!D26</f>
        <v>0</v>
      </c>
    </row>
    <row r="33" ht="14.25">
      <c r="B33" s="271">
        <f>'夫婦間'!D27</f>
        <v>0</v>
      </c>
    </row>
    <row r="35" ht="16.5">
      <c r="B35" s="1057" t="str">
        <f>'夫婦間'!B28</f>
        <v>違反時の
取り決め</v>
      </c>
    </row>
    <row r="36" ht="14.25">
      <c r="B36" s="271">
        <f>'夫婦間'!D29</f>
        <v>0</v>
      </c>
    </row>
    <row r="37" ht="14.25">
      <c r="B37" s="271">
        <f>'夫婦間'!D30</f>
        <v>0</v>
      </c>
    </row>
    <row r="38" ht="14.25">
      <c r="B38" s="271">
        <f>'夫婦間'!D31</f>
        <v>0</v>
      </c>
    </row>
    <row r="39" ht="14.25">
      <c r="B39" s="271">
        <f>'夫婦間'!D32</f>
        <v>0</v>
      </c>
    </row>
    <row r="41" ht="16.5">
      <c r="B41" s="1057" t="str">
        <f>'夫婦間'!B33</f>
        <v>その他</v>
      </c>
    </row>
    <row r="42" ht="14.25">
      <c r="B42" s="271">
        <f>'夫婦間'!D33</f>
        <v>0</v>
      </c>
    </row>
    <row r="43" ht="14.25">
      <c r="B43" s="271">
        <f>'夫婦間'!D34</f>
        <v>0</v>
      </c>
    </row>
    <row r="44" ht="14.25">
      <c r="B44" s="271">
        <f>'夫婦間'!D35</f>
        <v>0</v>
      </c>
    </row>
    <row r="45" ht="14.25">
      <c r="B45" s="271">
        <f>'夫婦間'!D36</f>
        <v>0</v>
      </c>
    </row>
    <row r="46" ht="14.25">
      <c r="B46" s="271">
        <f>'夫婦間'!D37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D22"/>
  <sheetViews>
    <sheetView workbookViewId="0" topLeftCell="A1">
      <selection activeCell="A1" sqref="A1"/>
    </sheetView>
  </sheetViews>
  <sheetFormatPr defaultColWidth="9.140625" defaultRowHeight="15"/>
  <cols>
    <col min="1" max="1" width="3.421875" style="74" bestFit="1" customWidth="1"/>
    <col min="2" max="2" width="4.421875" style="74" bestFit="1" customWidth="1"/>
    <col min="3" max="3" width="13.421875" style="74" bestFit="1" customWidth="1"/>
    <col min="4" max="4" width="68.7109375" style="74" bestFit="1" customWidth="1"/>
    <col min="5" max="5" width="2.421875" style="74" bestFit="1" customWidth="1"/>
    <col min="6" max="16384" width="9.00390625" style="74" customWidth="1"/>
  </cols>
  <sheetData>
    <row r="2" spans="2:4" ht="55.5" customHeight="1">
      <c r="B2" s="1018" t="s">
        <v>478</v>
      </c>
      <c r="C2" s="1018"/>
      <c r="D2" s="1018"/>
    </row>
    <row r="3" spans="2:4" ht="27.75" customHeight="1">
      <c r="B3" s="1019">
        <v>1</v>
      </c>
      <c r="C3" s="1021" t="s">
        <v>479</v>
      </c>
      <c r="D3" s="1023" t="s">
        <v>100</v>
      </c>
    </row>
    <row r="4" spans="2:4" ht="27.75" customHeight="1">
      <c r="B4" s="1020"/>
      <c r="C4" s="1022"/>
      <c r="D4" s="1024"/>
    </row>
    <row r="5" spans="2:4" ht="27.75" customHeight="1">
      <c r="B5" s="1025">
        <v>2</v>
      </c>
      <c r="C5" s="1026" t="s">
        <v>101</v>
      </c>
      <c r="D5" s="1027" t="s">
        <v>102</v>
      </c>
    </row>
    <row r="6" spans="2:4" ht="27.75" customHeight="1">
      <c r="B6" s="1025"/>
      <c r="C6" s="1026"/>
      <c r="D6" s="1027"/>
    </row>
    <row r="7" spans="2:4" ht="27.75" customHeight="1">
      <c r="B7" s="1019">
        <v>3</v>
      </c>
      <c r="C7" s="1026" t="s">
        <v>93</v>
      </c>
      <c r="D7" s="268" t="s">
        <v>103</v>
      </c>
    </row>
    <row r="8" spans="2:4" ht="27.75" customHeight="1">
      <c r="B8" s="1020"/>
      <c r="C8" s="1026"/>
      <c r="D8" s="268" t="s">
        <v>104</v>
      </c>
    </row>
    <row r="9" spans="2:4" ht="27.75" customHeight="1">
      <c r="B9" s="1025">
        <v>4</v>
      </c>
      <c r="C9" s="1026" t="s">
        <v>95</v>
      </c>
      <c r="D9" s="1028" t="s">
        <v>105</v>
      </c>
    </row>
    <row r="10" spans="2:4" ht="27.75" customHeight="1">
      <c r="B10" s="1025"/>
      <c r="C10" s="1026"/>
      <c r="D10" s="1028"/>
    </row>
    <row r="11" spans="2:4" ht="27.75" customHeight="1">
      <c r="B11" s="1019">
        <v>5</v>
      </c>
      <c r="C11" s="1026" t="s">
        <v>96</v>
      </c>
      <c r="D11" s="1027" t="s">
        <v>404</v>
      </c>
    </row>
    <row r="12" spans="2:4" ht="27.75" customHeight="1">
      <c r="B12" s="1020"/>
      <c r="C12" s="1026"/>
      <c r="D12" s="1027"/>
    </row>
    <row r="13" spans="2:4" ht="27.75" customHeight="1">
      <c r="B13" s="1025">
        <v>6</v>
      </c>
      <c r="C13" s="1026" t="s">
        <v>94</v>
      </c>
      <c r="D13" s="1027" t="s">
        <v>106</v>
      </c>
    </row>
    <row r="14" spans="2:4" ht="27.75" customHeight="1">
      <c r="B14" s="1025"/>
      <c r="C14" s="1026"/>
      <c r="D14" s="1027"/>
    </row>
    <row r="15" spans="2:4" ht="27.75" customHeight="1">
      <c r="B15" s="1019">
        <v>7</v>
      </c>
      <c r="C15" s="1026" t="s">
        <v>107</v>
      </c>
      <c r="D15" s="1027" t="s">
        <v>409</v>
      </c>
    </row>
    <row r="16" spans="2:4" ht="27.75" customHeight="1">
      <c r="B16" s="1020"/>
      <c r="C16" s="1026"/>
      <c r="D16" s="1027"/>
    </row>
    <row r="17" spans="2:4" ht="27.75" customHeight="1">
      <c r="B17" s="1025">
        <v>8</v>
      </c>
      <c r="C17" s="1026" t="s">
        <v>108</v>
      </c>
      <c r="D17" s="266" t="s">
        <v>405</v>
      </c>
    </row>
    <row r="18" spans="2:4" ht="27.75" customHeight="1">
      <c r="B18" s="1025"/>
      <c r="C18" s="1026"/>
      <c r="D18" s="267" t="s">
        <v>406</v>
      </c>
    </row>
    <row r="19" spans="2:4" ht="27.75" customHeight="1">
      <c r="B19" s="1019">
        <v>9</v>
      </c>
      <c r="C19" s="1026" t="s">
        <v>97</v>
      </c>
      <c r="D19" s="1023" t="s">
        <v>407</v>
      </c>
    </row>
    <row r="20" spans="2:4" ht="27.75" customHeight="1">
      <c r="B20" s="1020"/>
      <c r="C20" s="1026"/>
      <c r="D20" s="1024"/>
    </row>
    <row r="21" spans="2:4" ht="27.75" customHeight="1">
      <c r="B21" s="1025" t="s">
        <v>111</v>
      </c>
      <c r="C21" s="1029" t="s">
        <v>112</v>
      </c>
      <c r="D21" s="269" t="s">
        <v>480</v>
      </c>
    </row>
    <row r="22" spans="2:4" ht="27.75" customHeight="1">
      <c r="B22" s="1025"/>
      <c r="C22" s="1026"/>
      <c r="D22" s="269" t="s">
        <v>114</v>
      </c>
    </row>
    <row r="23" ht="27.75" customHeight="1"/>
  </sheetData>
  <sheetProtection/>
  <mergeCells count="28">
    <mergeCell ref="B21:B22"/>
    <mergeCell ref="C21:C22"/>
    <mergeCell ref="B17:B18"/>
    <mergeCell ref="C17:C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7:B8"/>
    <mergeCell ref="C7:C8"/>
    <mergeCell ref="B9:B10"/>
    <mergeCell ref="C9:C10"/>
    <mergeCell ref="D9:D10"/>
    <mergeCell ref="B11:B12"/>
    <mergeCell ref="C11:C12"/>
    <mergeCell ref="D11:D12"/>
    <mergeCell ref="B2:D2"/>
    <mergeCell ref="B3:B4"/>
    <mergeCell ref="C3:C4"/>
    <mergeCell ref="D3:D4"/>
    <mergeCell ref="B5:B6"/>
    <mergeCell ref="C5:C6"/>
    <mergeCell ref="D5:D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>
    <oddHeader>&amp;L&amp;"-,太字"&amp;12離婚給付契約公正証書の作成にかかる必要書類</oddHeader>
    <oddFooter>&amp;L&amp;"-,太字"&amp;12行政書士　東京中央法務オフィス　／　弁護士法人法律会計事務所さくらパートナーズ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271" bestFit="1" customWidth="1"/>
    <col min="2" max="3" width="15.00390625" style="271" bestFit="1" customWidth="1"/>
    <col min="4" max="4" width="9.421875" style="271" bestFit="1" customWidth="1"/>
    <col min="5" max="5" width="8.421875" style="271" bestFit="1" customWidth="1"/>
    <col min="6" max="6" width="9.421875" style="271" bestFit="1" customWidth="1"/>
    <col min="7" max="8" width="8.421875" style="271" bestFit="1" customWidth="1"/>
    <col min="9" max="11" width="8.421875" style="271" customWidth="1"/>
    <col min="12" max="15" width="0" style="271" hidden="1" customWidth="1"/>
    <col min="16" max="16384" width="9.00390625" style="271" customWidth="1"/>
  </cols>
  <sheetData>
    <row r="1" ht="19.5" customHeight="1" thickBot="1"/>
    <row r="2" spans="2:7" ht="19.5" customHeight="1">
      <c r="B2" s="1030" t="s">
        <v>504</v>
      </c>
      <c r="C2" s="1031"/>
      <c r="D2" s="1031"/>
      <c r="E2" s="1031"/>
      <c r="F2" s="1031"/>
      <c r="G2" s="1032"/>
    </row>
    <row r="3" spans="2:7" ht="19.5" customHeight="1">
      <c r="B3" s="1033"/>
      <c r="C3" s="1034"/>
      <c r="D3" s="1034"/>
      <c r="E3" s="1034"/>
      <c r="F3" s="1034"/>
      <c r="G3" s="1035"/>
    </row>
    <row r="4" spans="2:7" ht="19.5" customHeight="1">
      <c r="B4" s="1033"/>
      <c r="C4" s="1034"/>
      <c r="D4" s="1034"/>
      <c r="E4" s="1034"/>
      <c r="F4" s="1034"/>
      <c r="G4" s="1035"/>
    </row>
    <row r="5" spans="2:7" ht="19.5" customHeight="1" thickBot="1">
      <c r="B5" s="1036"/>
      <c r="C5" s="1037"/>
      <c r="D5" s="1037"/>
      <c r="E5" s="1037"/>
      <c r="F5" s="1037"/>
      <c r="G5" s="1038"/>
    </row>
    <row r="6" ht="19.5" customHeight="1"/>
    <row r="7" spans="2:15" ht="19.5" customHeight="1">
      <c r="B7" s="1040" t="s">
        <v>499</v>
      </c>
      <c r="C7" s="1040"/>
      <c r="D7" s="1041">
        <v>5000000</v>
      </c>
      <c r="E7" s="1041"/>
      <c r="F7" s="1041"/>
      <c r="G7" s="1041"/>
      <c r="L7" s="288">
        <f>D7/10000</f>
        <v>500</v>
      </c>
      <c r="M7" s="288">
        <v>110</v>
      </c>
      <c r="N7" s="288">
        <f>IF(L7&lt;M7,0,L7-M7)</f>
        <v>390</v>
      </c>
      <c r="O7" s="288">
        <f>IF(N7&lt;201,0,IF(N7&gt;B21,IF(N7&gt;B22,IF(N7&gt;B23,IF(N7&gt;B24,IF(N7&gt;B25,IF(N7&gt;B26,IF(N7&gt;B27,B27,B26),B25),B24),B23),B22),B21),B20))</f>
        <v>300</v>
      </c>
    </row>
    <row r="8" spans="2:7" ht="19.5" customHeight="1">
      <c r="B8" s="1040"/>
      <c r="C8" s="1040"/>
      <c r="D8" s="1041"/>
      <c r="E8" s="1041"/>
      <c r="F8" s="1041"/>
      <c r="G8" s="1041"/>
    </row>
    <row r="9" spans="2:15" ht="19.5" customHeight="1">
      <c r="B9" s="286"/>
      <c r="C9" s="286"/>
      <c r="D9" s="286"/>
      <c r="E9" s="286"/>
      <c r="F9" s="286"/>
      <c r="G9" s="286"/>
      <c r="L9" s="288">
        <f>VLOOKUP($O$7,$B$20:$G$28,3,0)</f>
        <v>0.2</v>
      </c>
      <c r="M9" s="288">
        <f>VLOOKUP($O$7,$B$20:$G$28,4,0)</f>
        <v>25</v>
      </c>
      <c r="N9" s="288">
        <f>VLOOKUP($O$7,$B$20:$G$28,5,0)</f>
        <v>0.15</v>
      </c>
      <c r="O9" s="288">
        <f>VLOOKUP($O$7,$B$20:$G$28,6,0)</f>
        <v>10</v>
      </c>
    </row>
    <row r="10" spans="2:7" ht="19.5" customHeight="1">
      <c r="B10" s="1040" t="s">
        <v>502</v>
      </c>
      <c r="C10" s="1040"/>
      <c r="D10" s="584" t="s">
        <v>503</v>
      </c>
      <c r="E10" s="584"/>
      <c r="F10" s="584"/>
      <c r="G10" s="584"/>
    </row>
    <row r="11" spans="2:15" ht="19.5" customHeight="1" thickBot="1">
      <c r="B11" s="286"/>
      <c r="C11" s="286"/>
      <c r="D11" s="286"/>
      <c r="E11" s="286"/>
      <c r="F11" s="286"/>
      <c r="G11" s="286"/>
      <c r="M11" s="289">
        <f>$N$7*L9-M9</f>
        <v>53</v>
      </c>
      <c r="O11" s="289">
        <f>$N$7*N9-O9</f>
        <v>48.5</v>
      </c>
    </row>
    <row r="12" spans="2:7" ht="19.5" customHeight="1">
      <c r="B12" s="1042" t="s">
        <v>501</v>
      </c>
      <c r="C12" s="1043"/>
      <c r="D12" s="1046">
        <f>IF(OR(D7=0,D10=""),"",IF(OR(D10="一般",D10=1),M11,O11)*10000)</f>
        <v>530000</v>
      </c>
      <c r="E12" s="1046"/>
      <c r="F12" s="1046"/>
      <c r="G12" s="1047"/>
    </row>
    <row r="13" spans="2:7" ht="19.5" customHeight="1" thickBot="1">
      <c r="B13" s="1044"/>
      <c r="C13" s="1045"/>
      <c r="D13" s="1048"/>
      <c r="E13" s="1048"/>
      <c r="F13" s="1048"/>
      <c r="G13" s="1049"/>
    </row>
    <row r="14" spans="2:7" ht="19.5" customHeight="1">
      <c r="B14" s="286"/>
      <c r="C14" s="286"/>
      <c r="D14" s="286"/>
      <c r="E14" s="286"/>
      <c r="F14" s="286"/>
      <c r="G14" s="286"/>
    </row>
    <row r="15" ht="19.5" customHeight="1">
      <c r="B15" s="271" t="s">
        <v>500</v>
      </c>
    </row>
    <row r="16" ht="19.5" customHeight="1"/>
    <row r="17" ht="19.5" customHeight="1"/>
    <row r="18" spans="2:7" ht="19.5" customHeight="1">
      <c r="B18" s="1039" t="s">
        <v>492</v>
      </c>
      <c r="C18" s="1039"/>
      <c r="D18" s="1039" t="s">
        <v>493</v>
      </c>
      <c r="E18" s="1039"/>
      <c r="F18" s="1039" t="s">
        <v>494</v>
      </c>
      <c r="G18" s="1039"/>
    </row>
    <row r="19" spans="2:7" ht="19.5" customHeight="1">
      <c r="B19" s="1039"/>
      <c r="C19" s="1039"/>
      <c r="D19" s="282" t="s">
        <v>495</v>
      </c>
      <c r="E19" s="282" t="s">
        <v>496</v>
      </c>
      <c r="F19" s="282" t="s">
        <v>497</v>
      </c>
      <c r="G19" s="282" t="s">
        <v>496</v>
      </c>
    </row>
    <row r="20" spans="2:7" ht="19.5" customHeight="1">
      <c r="B20" s="283">
        <v>0</v>
      </c>
      <c r="C20" s="284">
        <v>200</v>
      </c>
      <c r="D20" s="285">
        <v>0.1</v>
      </c>
      <c r="E20" s="287" t="s">
        <v>498</v>
      </c>
      <c r="F20" s="285">
        <v>0.1</v>
      </c>
      <c r="G20" s="287" t="s">
        <v>498</v>
      </c>
    </row>
    <row r="21" spans="2:7" ht="19.5" customHeight="1">
      <c r="B21" s="283">
        <f>C20</f>
        <v>200</v>
      </c>
      <c r="C21" s="284">
        <v>300</v>
      </c>
      <c r="D21" s="285">
        <v>0.15</v>
      </c>
      <c r="E21" s="287">
        <v>10</v>
      </c>
      <c r="F21" s="285">
        <v>0.15</v>
      </c>
      <c r="G21" s="287">
        <v>10</v>
      </c>
    </row>
    <row r="22" spans="2:7" ht="19.5" customHeight="1">
      <c r="B22" s="283">
        <f aca="true" t="shared" si="0" ref="B22:B28">C21</f>
        <v>300</v>
      </c>
      <c r="C22" s="284">
        <v>400</v>
      </c>
      <c r="D22" s="285">
        <v>0.2</v>
      </c>
      <c r="E22" s="287">
        <v>25</v>
      </c>
      <c r="F22" s="285">
        <v>0.15</v>
      </c>
      <c r="G22" s="287">
        <v>10</v>
      </c>
    </row>
    <row r="23" spans="2:7" ht="19.5" customHeight="1">
      <c r="B23" s="283">
        <f t="shared" si="0"/>
        <v>400</v>
      </c>
      <c r="C23" s="284">
        <v>600</v>
      </c>
      <c r="D23" s="285">
        <v>0.3</v>
      </c>
      <c r="E23" s="287">
        <v>65</v>
      </c>
      <c r="F23" s="285">
        <v>0.2</v>
      </c>
      <c r="G23" s="287">
        <v>30</v>
      </c>
    </row>
    <row r="24" spans="2:7" ht="19.5" customHeight="1">
      <c r="B24" s="283">
        <f t="shared" si="0"/>
        <v>600</v>
      </c>
      <c r="C24" s="284">
        <v>1000</v>
      </c>
      <c r="D24" s="285">
        <v>0.4</v>
      </c>
      <c r="E24" s="287">
        <v>125</v>
      </c>
      <c r="F24" s="285">
        <v>0.3</v>
      </c>
      <c r="G24" s="287">
        <v>90</v>
      </c>
    </row>
    <row r="25" spans="2:7" ht="19.5" customHeight="1">
      <c r="B25" s="283">
        <f t="shared" si="0"/>
        <v>1000</v>
      </c>
      <c r="C25" s="284">
        <v>1500</v>
      </c>
      <c r="D25" s="285">
        <v>0.45</v>
      </c>
      <c r="E25" s="287">
        <v>175</v>
      </c>
      <c r="F25" s="285">
        <v>0.4</v>
      </c>
      <c r="G25" s="287">
        <v>190</v>
      </c>
    </row>
    <row r="26" spans="2:7" ht="19.5" customHeight="1">
      <c r="B26" s="283">
        <f t="shared" si="0"/>
        <v>1500</v>
      </c>
      <c r="C26" s="284">
        <v>3000</v>
      </c>
      <c r="D26" s="285">
        <v>0.5</v>
      </c>
      <c r="E26" s="287">
        <v>250</v>
      </c>
      <c r="F26" s="285">
        <v>0.45</v>
      </c>
      <c r="G26" s="287">
        <v>265</v>
      </c>
    </row>
    <row r="27" spans="2:7" ht="19.5" customHeight="1">
      <c r="B27" s="283">
        <f t="shared" si="0"/>
        <v>3000</v>
      </c>
      <c r="C27" s="284">
        <v>4500</v>
      </c>
      <c r="D27" s="285">
        <v>0.55</v>
      </c>
      <c r="E27" s="287">
        <v>400</v>
      </c>
      <c r="F27" s="285">
        <v>0.5</v>
      </c>
      <c r="G27" s="287">
        <v>415</v>
      </c>
    </row>
    <row r="28" spans="2:7" ht="19.5" customHeight="1">
      <c r="B28" s="283">
        <f t="shared" si="0"/>
        <v>4500</v>
      </c>
      <c r="C28" s="284"/>
      <c r="D28" s="285">
        <v>0.55</v>
      </c>
      <c r="E28" s="287">
        <v>400</v>
      </c>
      <c r="F28" s="285">
        <v>0.55</v>
      </c>
      <c r="G28" s="287">
        <v>640</v>
      </c>
    </row>
    <row r="29" ht="19.5" customHeight="1"/>
    <row r="30" ht="19.5" customHeight="1"/>
    <row r="31" ht="19.5" customHeight="1"/>
    <row r="32" ht="19.5" customHeight="1"/>
  </sheetData>
  <sheetProtection/>
  <mergeCells count="10">
    <mergeCell ref="B2:G5"/>
    <mergeCell ref="D18:E18"/>
    <mergeCell ref="F18:G18"/>
    <mergeCell ref="B7:C8"/>
    <mergeCell ref="D7:G8"/>
    <mergeCell ref="B12:C13"/>
    <mergeCell ref="D12:G13"/>
    <mergeCell ref="B10:C10"/>
    <mergeCell ref="D10:G10"/>
    <mergeCell ref="B18:C1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B2:D24"/>
  <sheetViews>
    <sheetView workbookViewId="0" topLeftCell="A1">
      <selection activeCell="A1" sqref="A1"/>
    </sheetView>
  </sheetViews>
  <sheetFormatPr defaultColWidth="9.140625" defaultRowHeight="15"/>
  <cols>
    <col min="1" max="1" width="3.421875" style="74" bestFit="1" customWidth="1"/>
    <col min="2" max="2" width="4.421875" style="74" bestFit="1" customWidth="1"/>
    <col min="3" max="3" width="13.421875" style="74" bestFit="1" customWidth="1"/>
    <col min="4" max="4" width="68.7109375" style="74" bestFit="1" customWidth="1"/>
    <col min="5" max="5" width="2.421875" style="74" bestFit="1" customWidth="1"/>
    <col min="6" max="16384" width="9.00390625" style="74" customWidth="1"/>
  </cols>
  <sheetData>
    <row r="2" spans="2:4" ht="55.5" customHeight="1">
      <c r="B2" s="1018" t="s">
        <v>98</v>
      </c>
      <c r="C2" s="1018"/>
      <c r="D2" s="1018"/>
    </row>
    <row r="3" spans="2:4" ht="27.75" customHeight="1">
      <c r="B3" s="1019">
        <v>1</v>
      </c>
      <c r="C3" s="1021" t="s">
        <v>99</v>
      </c>
      <c r="D3" s="1023" t="s">
        <v>100</v>
      </c>
    </row>
    <row r="4" spans="2:4" ht="27.75" customHeight="1">
      <c r="B4" s="1020"/>
      <c r="C4" s="1022"/>
      <c r="D4" s="1024"/>
    </row>
    <row r="5" spans="2:4" ht="27.75" customHeight="1">
      <c r="B5" s="1025">
        <v>2</v>
      </c>
      <c r="C5" s="1026" t="s">
        <v>101</v>
      </c>
      <c r="D5" s="1027" t="s">
        <v>102</v>
      </c>
    </row>
    <row r="6" spans="2:4" ht="27.75" customHeight="1">
      <c r="B6" s="1025"/>
      <c r="C6" s="1026"/>
      <c r="D6" s="1027"/>
    </row>
    <row r="7" spans="2:4" ht="27.75" customHeight="1">
      <c r="B7" s="1019">
        <v>3</v>
      </c>
      <c r="C7" s="1026" t="s">
        <v>93</v>
      </c>
      <c r="D7" s="75" t="s">
        <v>103</v>
      </c>
    </row>
    <row r="8" spans="2:4" ht="27.75" customHeight="1">
      <c r="B8" s="1020"/>
      <c r="C8" s="1026"/>
      <c r="D8" s="75" t="s">
        <v>104</v>
      </c>
    </row>
    <row r="9" spans="2:4" ht="27.75" customHeight="1">
      <c r="B9" s="1025">
        <v>4</v>
      </c>
      <c r="C9" s="1026" t="s">
        <v>95</v>
      </c>
      <c r="D9" s="1028" t="s">
        <v>105</v>
      </c>
    </row>
    <row r="10" spans="2:4" ht="27.75" customHeight="1">
      <c r="B10" s="1025"/>
      <c r="C10" s="1026"/>
      <c r="D10" s="1028"/>
    </row>
    <row r="11" spans="2:4" ht="27.75" customHeight="1">
      <c r="B11" s="1019">
        <v>5</v>
      </c>
      <c r="C11" s="1026" t="s">
        <v>96</v>
      </c>
      <c r="D11" s="1027" t="s">
        <v>404</v>
      </c>
    </row>
    <row r="12" spans="2:4" ht="27.75" customHeight="1">
      <c r="B12" s="1020"/>
      <c r="C12" s="1026"/>
      <c r="D12" s="1027"/>
    </row>
    <row r="13" spans="2:4" ht="27.75" customHeight="1">
      <c r="B13" s="1025">
        <v>6</v>
      </c>
      <c r="C13" s="1026" t="s">
        <v>94</v>
      </c>
      <c r="D13" s="1027" t="s">
        <v>106</v>
      </c>
    </row>
    <row r="14" spans="2:4" ht="27.75" customHeight="1">
      <c r="B14" s="1025"/>
      <c r="C14" s="1026"/>
      <c r="D14" s="1027"/>
    </row>
    <row r="15" spans="2:4" ht="27.75" customHeight="1">
      <c r="B15" s="1019">
        <v>7</v>
      </c>
      <c r="C15" s="1026" t="s">
        <v>107</v>
      </c>
      <c r="D15" s="1027" t="s">
        <v>409</v>
      </c>
    </row>
    <row r="16" spans="2:4" ht="27.75" customHeight="1">
      <c r="B16" s="1020"/>
      <c r="C16" s="1026"/>
      <c r="D16" s="1027"/>
    </row>
    <row r="17" spans="2:4" ht="27.75" customHeight="1">
      <c r="B17" s="1025">
        <v>8</v>
      </c>
      <c r="C17" s="1026" t="s">
        <v>108</v>
      </c>
      <c r="D17" s="183" t="s">
        <v>405</v>
      </c>
    </row>
    <row r="18" spans="2:4" ht="27.75" customHeight="1">
      <c r="B18" s="1025"/>
      <c r="C18" s="1026"/>
      <c r="D18" s="184" t="s">
        <v>406</v>
      </c>
    </row>
    <row r="19" spans="2:4" ht="27.75" customHeight="1">
      <c r="B19" s="1019">
        <v>9</v>
      </c>
      <c r="C19" s="1026" t="s">
        <v>97</v>
      </c>
      <c r="D19" s="1023" t="s">
        <v>407</v>
      </c>
    </row>
    <row r="20" spans="2:4" ht="27.75" customHeight="1">
      <c r="B20" s="1020"/>
      <c r="C20" s="1026"/>
      <c r="D20" s="1024"/>
    </row>
    <row r="21" spans="2:4" ht="27.75" customHeight="1">
      <c r="B21" s="1019">
        <v>10</v>
      </c>
      <c r="C21" s="1029" t="s">
        <v>109</v>
      </c>
      <c r="D21" s="75" t="s">
        <v>408</v>
      </c>
    </row>
    <row r="22" spans="2:4" ht="27.75" customHeight="1">
      <c r="B22" s="1020"/>
      <c r="C22" s="1026"/>
      <c r="D22" s="75" t="s">
        <v>110</v>
      </c>
    </row>
    <row r="23" spans="2:4" ht="27.75" customHeight="1">
      <c r="B23" s="1025" t="s">
        <v>111</v>
      </c>
      <c r="C23" s="1029" t="s">
        <v>112</v>
      </c>
      <c r="D23" s="76" t="s">
        <v>113</v>
      </c>
    </row>
    <row r="24" spans="2:4" ht="27.75" customHeight="1">
      <c r="B24" s="1025"/>
      <c r="C24" s="1026"/>
      <c r="D24" s="76" t="s">
        <v>114</v>
      </c>
    </row>
    <row r="25" ht="27.75" customHeight="1"/>
  </sheetData>
  <sheetProtection/>
  <mergeCells count="30">
    <mergeCell ref="B2:D2"/>
    <mergeCell ref="B3:B4"/>
    <mergeCell ref="C3:C4"/>
    <mergeCell ref="D3:D4"/>
    <mergeCell ref="B5:B6"/>
    <mergeCell ref="C5:C6"/>
    <mergeCell ref="D5:D6"/>
    <mergeCell ref="B7:B8"/>
    <mergeCell ref="C7:C8"/>
    <mergeCell ref="B9:B10"/>
    <mergeCell ref="C9:C10"/>
    <mergeCell ref="D9:D10"/>
    <mergeCell ref="B11:B12"/>
    <mergeCell ref="C11:C12"/>
    <mergeCell ref="D11:D12"/>
    <mergeCell ref="D19:D20"/>
    <mergeCell ref="B21:B22"/>
    <mergeCell ref="C21:C22"/>
    <mergeCell ref="B13:B14"/>
    <mergeCell ref="C13:C14"/>
    <mergeCell ref="D13:D14"/>
    <mergeCell ref="B15:B16"/>
    <mergeCell ref="C15:C16"/>
    <mergeCell ref="D15:D16"/>
    <mergeCell ref="B23:B24"/>
    <mergeCell ref="C23:C24"/>
    <mergeCell ref="B17:B18"/>
    <mergeCell ref="C17:C18"/>
    <mergeCell ref="B19:B20"/>
    <mergeCell ref="C19:C20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>
    <oddHeader>&amp;L&amp;"-,太字"&amp;12離婚給付契約公正証書の作成にかかる必要書類</oddHeader>
    <oddFooter>&amp;L&amp;"-,太字"&amp;12行政書士　東京中央法務オフィス　／　弁護士法人法律会計事務所さくらパートナーズ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D17"/>
  <sheetViews>
    <sheetView workbookViewId="0" topLeftCell="A1">
      <selection activeCell="A1" sqref="A1"/>
    </sheetView>
  </sheetViews>
  <sheetFormatPr defaultColWidth="9.140625" defaultRowHeight="15"/>
  <cols>
    <col min="1" max="1" width="3.421875" style="74" bestFit="1" customWidth="1"/>
    <col min="2" max="2" width="4.421875" style="74" bestFit="1" customWidth="1"/>
    <col min="3" max="3" width="13.421875" style="74" bestFit="1" customWidth="1"/>
    <col min="4" max="4" width="68.7109375" style="74" bestFit="1" customWidth="1"/>
    <col min="5" max="5" width="2.421875" style="74" bestFit="1" customWidth="1"/>
    <col min="6" max="16384" width="9.00390625" style="74" customWidth="1"/>
  </cols>
  <sheetData>
    <row r="2" spans="2:4" ht="55.5" customHeight="1">
      <c r="B2" s="1018" t="s">
        <v>316</v>
      </c>
      <c r="C2" s="1018"/>
      <c r="D2" s="1018"/>
    </row>
    <row r="3" spans="2:4" ht="27.75" customHeight="1">
      <c r="B3" s="1019">
        <v>1</v>
      </c>
      <c r="C3" s="1021" t="s">
        <v>317</v>
      </c>
      <c r="D3" s="1023" t="s">
        <v>318</v>
      </c>
    </row>
    <row r="4" spans="2:4" ht="27.75" customHeight="1">
      <c r="B4" s="1020"/>
      <c r="C4" s="1022"/>
      <c r="D4" s="1024"/>
    </row>
    <row r="5" spans="2:4" ht="27.75" customHeight="1">
      <c r="B5" s="1025">
        <v>2</v>
      </c>
      <c r="C5" s="1026" t="s">
        <v>330</v>
      </c>
      <c r="D5" s="144" t="s">
        <v>335</v>
      </c>
    </row>
    <row r="6" spans="2:4" ht="27.75" customHeight="1">
      <c r="B6" s="1025"/>
      <c r="C6" s="1026"/>
      <c r="D6" s="144" t="s">
        <v>336</v>
      </c>
    </row>
    <row r="7" spans="2:4" ht="27.75" customHeight="1">
      <c r="B7" s="143" t="s">
        <v>333</v>
      </c>
      <c r="C7" s="141"/>
      <c r="D7" s="142"/>
    </row>
    <row r="8" ht="27.75" customHeight="1"/>
    <row r="9" spans="2:4" ht="55.5" customHeight="1">
      <c r="B9" s="1018" t="s">
        <v>327</v>
      </c>
      <c r="C9" s="1018"/>
      <c r="D9" s="1018"/>
    </row>
    <row r="10" spans="2:4" ht="27.75" customHeight="1">
      <c r="B10" s="138">
        <v>1</v>
      </c>
      <c r="C10" s="140" t="s">
        <v>317</v>
      </c>
      <c r="D10" s="139" t="s">
        <v>328</v>
      </c>
    </row>
    <row r="11" spans="2:4" ht="27.75" customHeight="1">
      <c r="B11" s="145">
        <v>2</v>
      </c>
      <c r="C11" s="147" t="s">
        <v>351</v>
      </c>
      <c r="D11" s="146" t="s">
        <v>348</v>
      </c>
    </row>
    <row r="12" spans="2:4" ht="27.75" customHeight="1">
      <c r="B12" s="145">
        <v>3</v>
      </c>
      <c r="C12" s="147" t="s">
        <v>349</v>
      </c>
      <c r="D12" s="146" t="s">
        <v>350</v>
      </c>
    </row>
    <row r="13" spans="2:4" ht="27.75" customHeight="1">
      <c r="B13" s="145">
        <v>4</v>
      </c>
      <c r="C13" s="140" t="s">
        <v>329</v>
      </c>
      <c r="D13" s="139" t="s">
        <v>323</v>
      </c>
    </row>
    <row r="14" spans="2:4" ht="27.75" customHeight="1">
      <c r="B14" s="145">
        <v>5</v>
      </c>
      <c r="C14" s="140" t="s">
        <v>331</v>
      </c>
      <c r="D14" s="139" t="s">
        <v>325</v>
      </c>
    </row>
    <row r="15" spans="2:4" ht="27.75" customHeight="1">
      <c r="B15" s="145">
        <v>6</v>
      </c>
      <c r="C15" s="140" t="s">
        <v>332</v>
      </c>
      <c r="D15" s="139" t="s">
        <v>326</v>
      </c>
    </row>
    <row r="16" spans="2:4" ht="27.75" customHeight="1">
      <c r="B16" s="145">
        <v>7</v>
      </c>
      <c r="C16" s="147" t="s">
        <v>352</v>
      </c>
      <c r="D16" s="146" t="s">
        <v>353</v>
      </c>
    </row>
    <row r="17" spans="2:4" ht="27.75" customHeight="1">
      <c r="B17" s="143" t="s">
        <v>334</v>
      </c>
      <c r="C17" s="141"/>
      <c r="D17" s="142"/>
    </row>
  </sheetData>
  <sheetProtection/>
  <mergeCells count="7">
    <mergeCell ref="B9:D9"/>
    <mergeCell ref="B2:D2"/>
    <mergeCell ref="B3:B4"/>
    <mergeCell ref="C3:C4"/>
    <mergeCell ref="D3:D4"/>
    <mergeCell ref="B5:B6"/>
    <mergeCell ref="C5:C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>
    <oddHeader>&amp;L&amp;"-,太字"&amp;12養育費に関する公正証書の作成にかかる必要書類</oddHeader>
    <oddFooter>&amp;L&amp;"-,太字"&amp;12行政書士　東京中央法務オフィス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5"/>
  <sheetViews>
    <sheetView zoomScalePageLayoutView="0" workbookViewId="0" topLeftCell="A19">
      <selection activeCell="C7" sqref="C7:J7"/>
    </sheetView>
  </sheetViews>
  <sheetFormatPr defaultColWidth="9.140625" defaultRowHeight="15"/>
  <cols>
    <col min="1" max="1" width="3.57421875" style="103" customWidth="1"/>
    <col min="2" max="2" width="5.28125" style="103" bestFit="1" customWidth="1"/>
    <col min="3" max="16" width="3.57421875" style="103" customWidth="1"/>
    <col min="17" max="17" width="4.7109375" style="103" bestFit="1" customWidth="1"/>
    <col min="18" max="26" width="3.57421875" style="103" customWidth="1"/>
    <col min="27" max="27" width="4.8515625" style="103" bestFit="1" customWidth="1"/>
    <col min="28" max="29" width="3.57421875" style="103" customWidth="1"/>
    <col min="30" max="16384" width="9.00390625" style="103" customWidth="1"/>
  </cols>
  <sheetData>
    <row r="1" spans="2:29" ht="13.5"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AC1" s="104" t="s">
        <v>169</v>
      </c>
    </row>
    <row r="2" spans="2:24" ht="13.5"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</row>
    <row r="4" spans="2:31" ht="18.75">
      <c r="B4" s="825" t="s">
        <v>170</v>
      </c>
      <c r="C4" s="825"/>
      <c r="D4" s="825"/>
      <c r="E4" s="825"/>
      <c r="F4" s="825"/>
      <c r="G4" s="82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24" ht="18" customHeight="1">
      <c r="A5" s="103">
        <v>1</v>
      </c>
      <c r="B5" s="849" t="s">
        <v>171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93" t="s">
        <v>172</v>
      </c>
      <c r="V5" s="893"/>
      <c r="W5" s="893"/>
      <c r="X5" s="893"/>
    </row>
    <row r="6" spans="2:29" ht="18" customHeight="1">
      <c r="B6" s="106" t="s">
        <v>173</v>
      </c>
      <c r="C6" s="894" t="s">
        <v>174</v>
      </c>
      <c r="D6" s="911"/>
      <c r="E6" s="911"/>
      <c r="F6" s="911"/>
      <c r="G6" s="911"/>
      <c r="H6" s="911"/>
      <c r="I6" s="911"/>
      <c r="J6" s="912"/>
      <c r="K6" s="863" t="s">
        <v>175</v>
      </c>
      <c r="L6" s="856"/>
      <c r="M6" s="949"/>
      <c r="N6" s="972" t="s">
        <v>176</v>
      </c>
      <c r="O6" s="973"/>
      <c r="P6" s="974"/>
      <c r="Q6" s="863" t="s">
        <v>177</v>
      </c>
      <c r="R6" s="864"/>
      <c r="S6" s="856"/>
      <c r="T6" s="949"/>
      <c r="U6" s="875" t="s">
        <v>178</v>
      </c>
      <c r="V6" s="911"/>
      <c r="W6" s="911"/>
      <c r="X6" s="951"/>
      <c r="Y6" s="875" t="s">
        <v>179</v>
      </c>
      <c r="Z6" s="875"/>
      <c r="AA6" s="911"/>
      <c r="AB6" s="911"/>
      <c r="AC6" s="951"/>
    </row>
    <row r="7" spans="2:29" ht="18" customHeight="1">
      <c r="B7" s="107">
        <v>1</v>
      </c>
      <c r="C7" s="963"/>
      <c r="D7" s="874"/>
      <c r="E7" s="874"/>
      <c r="F7" s="874"/>
      <c r="G7" s="874"/>
      <c r="H7" s="874"/>
      <c r="I7" s="874"/>
      <c r="J7" s="943"/>
      <c r="K7" s="873"/>
      <c r="L7" s="874"/>
      <c r="M7" s="943"/>
      <c r="N7" s="873"/>
      <c r="O7" s="874"/>
      <c r="P7" s="943"/>
      <c r="Q7" s="964"/>
      <c r="R7" s="933"/>
      <c r="S7" s="965"/>
      <c r="T7" s="966"/>
      <c r="U7" s="961"/>
      <c r="V7" s="961"/>
      <c r="W7" s="961"/>
      <c r="X7" s="962"/>
      <c r="Y7" s="922"/>
      <c r="Z7" s="923"/>
      <c r="AA7" s="108" t="s">
        <v>180</v>
      </c>
      <c r="AB7" s="923"/>
      <c r="AC7" s="924"/>
    </row>
    <row r="8" spans="2:29" ht="18" customHeight="1">
      <c r="B8" s="107">
        <v>2</v>
      </c>
      <c r="C8" s="952"/>
      <c r="D8" s="953"/>
      <c r="E8" s="953"/>
      <c r="F8" s="953"/>
      <c r="G8" s="953"/>
      <c r="H8" s="953"/>
      <c r="I8" s="953"/>
      <c r="J8" s="954"/>
      <c r="K8" s="955"/>
      <c r="L8" s="953"/>
      <c r="M8" s="954"/>
      <c r="N8" s="956"/>
      <c r="O8" s="953"/>
      <c r="P8" s="954"/>
      <c r="Q8" s="967"/>
      <c r="R8" s="968"/>
      <c r="S8" s="969"/>
      <c r="T8" s="970"/>
      <c r="U8" s="961"/>
      <c r="V8" s="961"/>
      <c r="W8" s="961"/>
      <c r="X8" s="962"/>
      <c r="Y8" s="922"/>
      <c r="Z8" s="923"/>
      <c r="AA8" s="108" t="s">
        <v>180</v>
      </c>
      <c r="AB8" s="923"/>
      <c r="AC8" s="924"/>
    </row>
    <row r="9" spans="2:29" ht="18" customHeight="1">
      <c r="B9" s="107">
        <v>3</v>
      </c>
      <c r="C9" s="952"/>
      <c r="D9" s="953"/>
      <c r="E9" s="953"/>
      <c r="F9" s="953"/>
      <c r="G9" s="953"/>
      <c r="H9" s="953"/>
      <c r="I9" s="953"/>
      <c r="J9" s="954"/>
      <c r="K9" s="955"/>
      <c r="L9" s="953"/>
      <c r="M9" s="954"/>
      <c r="N9" s="956"/>
      <c r="O9" s="953"/>
      <c r="P9" s="954"/>
      <c r="Q9" s="957"/>
      <c r="R9" s="958"/>
      <c r="S9" s="959"/>
      <c r="T9" s="960"/>
      <c r="U9" s="961"/>
      <c r="V9" s="961"/>
      <c r="W9" s="961"/>
      <c r="X9" s="962"/>
      <c r="Y9" s="922"/>
      <c r="Z9" s="923"/>
      <c r="AA9" s="108" t="s">
        <v>180</v>
      </c>
      <c r="AB9" s="923"/>
      <c r="AC9" s="924"/>
    </row>
    <row r="10" spans="3:24" ht="18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09"/>
      <c r="Q10" s="840" t="s">
        <v>181</v>
      </c>
      <c r="R10" s="841"/>
      <c r="S10" s="892">
        <f>SUM(U7:X9)</f>
        <v>0</v>
      </c>
      <c r="T10" s="823"/>
      <c r="U10" s="823"/>
      <c r="V10" s="823"/>
      <c r="W10" s="823"/>
      <c r="X10" s="824"/>
    </row>
    <row r="11" spans="1:24" ht="18" customHeight="1">
      <c r="A11" s="103">
        <v>2</v>
      </c>
      <c r="B11" s="849" t="s">
        <v>182</v>
      </c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109"/>
      <c r="V11" s="109"/>
      <c r="W11" s="109"/>
      <c r="X11" s="109"/>
    </row>
    <row r="12" spans="2:29" ht="18" customHeight="1">
      <c r="B12" s="106" t="s">
        <v>173</v>
      </c>
      <c r="C12" s="894" t="s">
        <v>174</v>
      </c>
      <c r="D12" s="947"/>
      <c r="E12" s="947"/>
      <c r="F12" s="947"/>
      <c r="G12" s="947"/>
      <c r="H12" s="947"/>
      <c r="I12" s="947"/>
      <c r="J12" s="948"/>
      <c r="K12" s="853" t="s">
        <v>183</v>
      </c>
      <c r="L12" s="856"/>
      <c r="M12" s="949"/>
      <c r="N12" s="853" t="s">
        <v>184</v>
      </c>
      <c r="O12" s="856"/>
      <c r="P12" s="949"/>
      <c r="Q12" s="863" t="s">
        <v>185</v>
      </c>
      <c r="R12" s="864"/>
      <c r="S12" s="856"/>
      <c r="T12" s="949"/>
      <c r="U12" s="875" t="s">
        <v>178</v>
      </c>
      <c r="V12" s="947"/>
      <c r="W12" s="947"/>
      <c r="X12" s="950"/>
      <c r="Y12" s="875" t="s">
        <v>179</v>
      </c>
      <c r="Z12" s="875"/>
      <c r="AA12" s="911"/>
      <c r="AB12" s="911"/>
      <c r="AC12" s="951"/>
    </row>
    <row r="13" spans="2:29" ht="18" customHeight="1">
      <c r="B13" s="935">
        <v>1</v>
      </c>
      <c r="C13" s="938"/>
      <c r="D13" s="880"/>
      <c r="E13" s="880"/>
      <c r="F13" s="880"/>
      <c r="G13" s="880"/>
      <c r="H13" s="880"/>
      <c r="I13" s="880"/>
      <c r="J13" s="939"/>
      <c r="K13" s="879"/>
      <c r="L13" s="880"/>
      <c r="M13" s="939"/>
      <c r="N13" s="879"/>
      <c r="O13" s="880"/>
      <c r="P13" s="939"/>
      <c r="Q13" s="120" t="s">
        <v>186</v>
      </c>
      <c r="R13" s="945"/>
      <c r="S13" s="945"/>
      <c r="T13" s="946"/>
      <c r="U13" s="914"/>
      <c r="V13" s="915"/>
      <c r="W13" s="915"/>
      <c r="X13" s="916"/>
      <c r="Y13" s="922"/>
      <c r="Z13" s="923"/>
      <c r="AA13" s="108" t="s">
        <v>180</v>
      </c>
      <c r="AB13" s="923"/>
      <c r="AC13" s="924"/>
    </row>
    <row r="14" spans="2:29" ht="18" customHeight="1">
      <c r="B14" s="936"/>
      <c r="C14" s="940"/>
      <c r="D14" s="918"/>
      <c r="E14" s="918"/>
      <c r="F14" s="918"/>
      <c r="G14" s="918"/>
      <c r="H14" s="918"/>
      <c r="I14" s="918"/>
      <c r="J14" s="941"/>
      <c r="K14" s="917"/>
      <c r="L14" s="918"/>
      <c r="M14" s="941"/>
      <c r="N14" s="917"/>
      <c r="O14" s="918"/>
      <c r="P14" s="941"/>
      <c r="Q14" s="121" t="s">
        <v>187</v>
      </c>
      <c r="R14" s="925"/>
      <c r="S14" s="925"/>
      <c r="T14" s="926"/>
      <c r="U14" s="917"/>
      <c r="V14" s="918"/>
      <c r="W14" s="918"/>
      <c r="X14" s="919"/>
      <c r="Y14" s="927">
        <f>IF(OR(U13="",Y13=""),"",INT(U13/Y13*AB13))</f>
      </c>
      <c r="Z14" s="928"/>
      <c r="AA14" s="928"/>
      <c r="AB14" s="928"/>
      <c r="AC14" s="929"/>
    </row>
    <row r="15" spans="2:29" ht="18" customHeight="1">
      <c r="B15" s="937"/>
      <c r="C15" s="942"/>
      <c r="D15" s="874"/>
      <c r="E15" s="874"/>
      <c r="F15" s="874"/>
      <c r="G15" s="874"/>
      <c r="H15" s="874"/>
      <c r="I15" s="874"/>
      <c r="J15" s="943"/>
      <c r="K15" s="920"/>
      <c r="L15" s="874"/>
      <c r="M15" s="943"/>
      <c r="N15" s="920"/>
      <c r="O15" s="874"/>
      <c r="P15" s="943"/>
      <c r="Q15" s="122" t="s">
        <v>188</v>
      </c>
      <c r="R15" s="933"/>
      <c r="S15" s="933"/>
      <c r="T15" s="934"/>
      <c r="U15" s="920"/>
      <c r="V15" s="874"/>
      <c r="W15" s="874"/>
      <c r="X15" s="921"/>
      <c r="Y15" s="930"/>
      <c r="Z15" s="931"/>
      <c r="AA15" s="931"/>
      <c r="AB15" s="931"/>
      <c r="AC15" s="932"/>
    </row>
    <row r="16" spans="2:29" ht="18" customHeight="1">
      <c r="B16" s="935">
        <v>2</v>
      </c>
      <c r="C16" s="938"/>
      <c r="D16" s="880"/>
      <c r="E16" s="880"/>
      <c r="F16" s="880"/>
      <c r="G16" s="880"/>
      <c r="H16" s="880"/>
      <c r="I16" s="880"/>
      <c r="J16" s="939"/>
      <c r="K16" s="944"/>
      <c r="L16" s="880"/>
      <c r="M16" s="939"/>
      <c r="N16" s="944"/>
      <c r="O16" s="880"/>
      <c r="P16" s="939"/>
      <c r="Q16" s="120" t="s">
        <v>186</v>
      </c>
      <c r="R16" s="945"/>
      <c r="S16" s="945"/>
      <c r="T16" s="946"/>
      <c r="U16" s="914"/>
      <c r="V16" s="915"/>
      <c r="W16" s="915"/>
      <c r="X16" s="916"/>
      <c r="Y16" s="922"/>
      <c r="Z16" s="923"/>
      <c r="AA16" s="108" t="s">
        <v>180</v>
      </c>
      <c r="AB16" s="923"/>
      <c r="AC16" s="924"/>
    </row>
    <row r="17" spans="2:29" ht="18" customHeight="1">
      <c r="B17" s="936"/>
      <c r="C17" s="940"/>
      <c r="D17" s="918"/>
      <c r="E17" s="918"/>
      <c r="F17" s="918"/>
      <c r="G17" s="918"/>
      <c r="H17" s="918"/>
      <c r="I17" s="918"/>
      <c r="J17" s="941"/>
      <c r="K17" s="917"/>
      <c r="L17" s="918"/>
      <c r="M17" s="941"/>
      <c r="N17" s="917"/>
      <c r="O17" s="918"/>
      <c r="P17" s="941"/>
      <c r="Q17" s="121" t="s">
        <v>187</v>
      </c>
      <c r="R17" s="925"/>
      <c r="S17" s="925"/>
      <c r="T17" s="926"/>
      <c r="U17" s="917"/>
      <c r="V17" s="918"/>
      <c r="W17" s="918"/>
      <c r="X17" s="919"/>
      <c r="Y17" s="927">
        <f>IF(OR(U16="",Y16=""),"",INT(U16/Y16*AB16))</f>
      </c>
      <c r="Z17" s="928"/>
      <c r="AA17" s="928"/>
      <c r="AB17" s="928"/>
      <c r="AC17" s="929"/>
    </row>
    <row r="18" spans="2:29" ht="18" customHeight="1">
      <c r="B18" s="937"/>
      <c r="C18" s="942"/>
      <c r="D18" s="874"/>
      <c r="E18" s="874"/>
      <c r="F18" s="874"/>
      <c r="G18" s="874"/>
      <c r="H18" s="874"/>
      <c r="I18" s="874"/>
      <c r="J18" s="943"/>
      <c r="K18" s="920"/>
      <c r="L18" s="874"/>
      <c r="M18" s="943"/>
      <c r="N18" s="920"/>
      <c r="O18" s="874"/>
      <c r="P18" s="943"/>
      <c r="Q18" s="122" t="s">
        <v>188</v>
      </c>
      <c r="R18" s="933"/>
      <c r="S18" s="933"/>
      <c r="T18" s="934"/>
      <c r="U18" s="920"/>
      <c r="V18" s="874"/>
      <c r="W18" s="874"/>
      <c r="X18" s="921"/>
      <c r="Y18" s="930"/>
      <c r="Z18" s="931"/>
      <c r="AA18" s="931"/>
      <c r="AB18" s="931"/>
      <c r="AC18" s="932"/>
    </row>
    <row r="19" spans="3:24" ht="18" customHeight="1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09"/>
      <c r="Q19" s="840" t="s">
        <v>181</v>
      </c>
      <c r="R19" s="841"/>
      <c r="S19" s="822">
        <f>SUM(U13:X18)</f>
        <v>0</v>
      </c>
      <c r="T19" s="823"/>
      <c r="U19" s="823"/>
      <c r="V19" s="823"/>
      <c r="W19" s="823"/>
      <c r="X19" s="824"/>
    </row>
    <row r="20" spans="1:24" ht="18" customHeight="1">
      <c r="A20" s="103">
        <v>3</v>
      </c>
      <c r="B20" s="849" t="s">
        <v>189</v>
      </c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109"/>
      <c r="V20" s="109"/>
      <c r="W20" s="109"/>
      <c r="X20" s="109"/>
    </row>
    <row r="21" spans="2:24" ht="18" customHeight="1">
      <c r="B21" s="106" t="s">
        <v>173</v>
      </c>
      <c r="C21" s="850" t="s">
        <v>190</v>
      </c>
      <c r="D21" s="911"/>
      <c r="E21" s="911"/>
      <c r="F21" s="911"/>
      <c r="G21" s="911"/>
      <c r="H21" s="912"/>
      <c r="I21" s="853" t="s">
        <v>191</v>
      </c>
      <c r="J21" s="854"/>
      <c r="K21" s="855"/>
      <c r="L21" s="853" t="s">
        <v>192</v>
      </c>
      <c r="M21" s="864"/>
      <c r="N21" s="864"/>
      <c r="O21" s="865"/>
      <c r="P21" s="853" t="s">
        <v>193</v>
      </c>
      <c r="Q21" s="854"/>
      <c r="R21" s="854"/>
      <c r="S21" s="854"/>
      <c r="T21" s="855"/>
      <c r="U21" s="853" t="s">
        <v>178</v>
      </c>
      <c r="V21" s="864"/>
      <c r="W21" s="864"/>
      <c r="X21" s="913"/>
    </row>
    <row r="22" spans="2:24" ht="18" customHeight="1">
      <c r="B22" s="107">
        <v>1</v>
      </c>
      <c r="C22" s="858" t="s">
        <v>194</v>
      </c>
      <c r="D22" s="902"/>
      <c r="E22" s="902"/>
      <c r="F22" s="902"/>
      <c r="G22" s="902"/>
      <c r="H22" s="903"/>
      <c r="I22" s="859" t="s">
        <v>194</v>
      </c>
      <c r="J22" s="904"/>
      <c r="K22" s="905"/>
      <c r="L22" s="859" t="s">
        <v>194</v>
      </c>
      <c r="M22" s="904"/>
      <c r="N22" s="904"/>
      <c r="O22" s="905"/>
      <c r="P22" s="859" t="s">
        <v>194</v>
      </c>
      <c r="Q22" s="904"/>
      <c r="R22" s="904"/>
      <c r="S22" s="904"/>
      <c r="T22" s="905"/>
      <c r="U22" s="906"/>
      <c r="V22" s="907"/>
      <c r="W22" s="907"/>
      <c r="X22" s="908"/>
    </row>
    <row r="23" spans="2:24" ht="18" customHeight="1">
      <c r="B23" s="107">
        <v>2</v>
      </c>
      <c r="C23" s="858" t="s">
        <v>194</v>
      </c>
      <c r="D23" s="902"/>
      <c r="E23" s="902"/>
      <c r="F23" s="902"/>
      <c r="G23" s="902"/>
      <c r="H23" s="903"/>
      <c r="I23" s="859" t="s">
        <v>194</v>
      </c>
      <c r="J23" s="904"/>
      <c r="K23" s="905"/>
      <c r="L23" s="859" t="s">
        <v>194</v>
      </c>
      <c r="M23" s="904"/>
      <c r="N23" s="904"/>
      <c r="O23" s="905"/>
      <c r="P23" s="859" t="s">
        <v>194</v>
      </c>
      <c r="Q23" s="904"/>
      <c r="R23" s="904"/>
      <c r="S23" s="904"/>
      <c r="T23" s="905"/>
      <c r="U23" s="906"/>
      <c r="V23" s="907"/>
      <c r="W23" s="907"/>
      <c r="X23" s="908"/>
    </row>
    <row r="24" spans="2:24" ht="18" customHeight="1">
      <c r="B24" s="107">
        <v>3</v>
      </c>
      <c r="C24" s="858" t="s">
        <v>194</v>
      </c>
      <c r="D24" s="902"/>
      <c r="E24" s="902"/>
      <c r="F24" s="902"/>
      <c r="G24" s="902"/>
      <c r="H24" s="903"/>
      <c r="I24" s="859" t="s">
        <v>194</v>
      </c>
      <c r="J24" s="904"/>
      <c r="K24" s="905"/>
      <c r="L24" s="859" t="s">
        <v>194</v>
      </c>
      <c r="M24" s="904"/>
      <c r="N24" s="904"/>
      <c r="O24" s="905"/>
      <c r="P24" s="859" t="s">
        <v>194</v>
      </c>
      <c r="Q24" s="904"/>
      <c r="R24" s="904"/>
      <c r="S24" s="904"/>
      <c r="T24" s="905"/>
      <c r="U24" s="906"/>
      <c r="V24" s="907"/>
      <c r="W24" s="907"/>
      <c r="X24" s="908"/>
    </row>
    <row r="25" spans="3:24" ht="18" customHeight="1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1"/>
      <c r="P25" s="112"/>
      <c r="Q25" s="112"/>
      <c r="R25" s="112"/>
      <c r="S25" s="840" t="s">
        <v>181</v>
      </c>
      <c r="T25" s="841"/>
      <c r="U25" s="822">
        <f>SUM(U22:X24)</f>
        <v>0</v>
      </c>
      <c r="V25" s="909"/>
      <c r="W25" s="909"/>
      <c r="X25" s="910"/>
    </row>
    <row r="26" spans="1:24" ht="18" customHeight="1">
      <c r="A26" s="103">
        <v>4</v>
      </c>
      <c r="B26" s="849" t="s">
        <v>195</v>
      </c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109"/>
      <c r="V26" s="109"/>
      <c r="W26" s="109"/>
      <c r="X26" s="109"/>
    </row>
    <row r="27" spans="2:24" ht="18" customHeight="1">
      <c r="B27" s="106" t="s">
        <v>173</v>
      </c>
      <c r="C27" s="850" t="s">
        <v>196</v>
      </c>
      <c r="D27" s="851"/>
      <c r="E27" s="851"/>
      <c r="F27" s="851"/>
      <c r="G27" s="851"/>
      <c r="H27" s="852"/>
      <c r="I27" s="863" t="s">
        <v>92</v>
      </c>
      <c r="J27" s="851"/>
      <c r="K27" s="852"/>
      <c r="L27" s="853" t="s">
        <v>197</v>
      </c>
      <c r="M27" s="854"/>
      <c r="N27" s="854"/>
      <c r="O27" s="854"/>
      <c r="P27" s="854"/>
      <c r="Q27" s="854"/>
      <c r="R27" s="855"/>
      <c r="S27" s="863" t="s">
        <v>198</v>
      </c>
      <c r="T27" s="856"/>
      <c r="U27" s="856"/>
      <c r="V27" s="856"/>
      <c r="W27" s="856"/>
      <c r="X27" s="857"/>
    </row>
    <row r="28" spans="2:24" ht="18" customHeight="1">
      <c r="B28" s="107">
        <v>1</v>
      </c>
      <c r="C28" s="842"/>
      <c r="D28" s="843"/>
      <c r="E28" s="843"/>
      <c r="F28" s="843"/>
      <c r="G28" s="843"/>
      <c r="H28" s="844"/>
      <c r="I28" s="845"/>
      <c r="J28" s="843"/>
      <c r="K28" s="844"/>
      <c r="L28" s="834"/>
      <c r="M28" s="835"/>
      <c r="N28" s="835"/>
      <c r="O28" s="835"/>
      <c r="P28" s="835"/>
      <c r="Q28" s="835"/>
      <c r="R28" s="836"/>
      <c r="S28" s="846"/>
      <c r="T28" s="847"/>
      <c r="U28" s="847"/>
      <c r="V28" s="847"/>
      <c r="W28" s="847"/>
      <c r="X28" s="848"/>
    </row>
    <row r="29" spans="2:24" ht="18" customHeight="1">
      <c r="B29" s="107">
        <v>2</v>
      </c>
      <c r="C29" s="830"/>
      <c r="D29" s="831"/>
      <c r="E29" s="831"/>
      <c r="F29" s="831"/>
      <c r="G29" s="831"/>
      <c r="H29" s="832"/>
      <c r="I29" s="833"/>
      <c r="J29" s="831"/>
      <c r="K29" s="832"/>
      <c r="L29" s="834"/>
      <c r="M29" s="835"/>
      <c r="N29" s="835"/>
      <c r="O29" s="835"/>
      <c r="P29" s="835"/>
      <c r="Q29" s="835"/>
      <c r="R29" s="836"/>
      <c r="S29" s="837"/>
      <c r="T29" s="838"/>
      <c r="U29" s="838"/>
      <c r="V29" s="838"/>
      <c r="W29" s="838"/>
      <c r="X29" s="839"/>
    </row>
    <row r="30" spans="2:24" ht="18" customHeight="1">
      <c r="B30" s="107">
        <v>3</v>
      </c>
      <c r="C30" s="830"/>
      <c r="D30" s="831"/>
      <c r="E30" s="831"/>
      <c r="F30" s="831"/>
      <c r="G30" s="831"/>
      <c r="H30" s="832"/>
      <c r="I30" s="833"/>
      <c r="J30" s="831"/>
      <c r="K30" s="832"/>
      <c r="L30" s="834"/>
      <c r="M30" s="835"/>
      <c r="N30" s="835"/>
      <c r="O30" s="835"/>
      <c r="P30" s="835"/>
      <c r="Q30" s="835"/>
      <c r="R30" s="836"/>
      <c r="S30" s="837"/>
      <c r="T30" s="838"/>
      <c r="U30" s="838"/>
      <c r="V30" s="838"/>
      <c r="W30" s="838"/>
      <c r="X30" s="839"/>
    </row>
    <row r="31" spans="2:24" ht="18" customHeight="1">
      <c r="B31" s="107">
        <v>4</v>
      </c>
      <c r="C31" s="830"/>
      <c r="D31" s="831"/>
      <c r="E31" s="831"/>
      <c r="F31" s="831"/>
      <c r="G31" s="831"/>
      <c r="H31" s="832"/>
      <c r="I31" s="833"/>
      <c r="J31" s="831"/>
      <c r="K31" s="832"/>
      <c r="L31" s="834"/>
      <c r="M31" s="835"/>
      <c r="N31" s="835"/>
      <c r="O31" s="835"/>
      <c r="P31" s="835"/>
      <c r="Q31" s="835"/>
      <c r="R31" s="836"/>
      <c r="S31" s="837"/>
      <c r="T31" s="838"/>
      <c r="U31" s="838"/>
      <c r="V31" s="838"/>
      <c r="W31" s="838"/>
      <c r="X31" s="839"/>
    </row>
    <row r="32" spans="2:24" ht="18" customHeight="1">
      <c r="B32" s="107">
        <v>5</v>
      </c>
      <c r="C32" s="830"/>
      <c r="D32" s="831"/>
      <c r="E32" s="831"/>
      <c r="F32" s="831"/>
      <c r="G32" s="831"/>
      <c r="H32" s="832"/>
      <c r="I32" s="833"/>
      <c r="J32" s="831"/>
      <c r="K32" s="832"/>
      <c r="L32" s="834"/>
      <c r="M32" s="835"/>
      <c r="N32" s="835"/>
      <c r="O32" s="835"/>
      <c r="P32" s="835"/>
      <c r="Q32" s="835"/>
      <c r="R32" s="836"/>
      <c r="S32" s="837"/>
      <c r="T32" s="838"/>
      <c r="U32" s="838"/>
      <c r="V32" s="838"/>
      <c r="W32" s="838"/>
      <c r="X32" s="839"/>
    </row>
    <row r="33" spans="3:24" ht="18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109"/>
      <c r="Q33" s="840" t="s">
        <v>181</v>
      </c>
      <c r="R33" s="841"/>
      <c r="S33" s="822">
        <f>SUM(S28:X32)</f>
        <v>0</v>
      </c>
      <c r="T33" s="823"/>
      <c r="U33" s="823"/>
      <c r="V33" s="823"/>
      <c r="W33" s="823"/>
      <c r="X33" s="824"/>
    </row>
    <row r="34" spans="1:24" ht="18" customHeight="1">
      <c r="A34" s="103">
        <v>5</v>
      </c>
      <c r="B34" s="849" t="s">
        <v>199</v>
      </c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93"/>
      <c r="V34" s="893"/>
      <c r="W34" s="893"/>
      <c r="X34" s="893"/>
    </row>
    <row r="35" spans="2:24" ht="18" customHeight="1">
      <c r="B35" s="106" t="s">
        <v>173</v>
      </c>
      <c r="C35" s="894" t="s">
        <v>200</v>
      </c>
      <c r="D35" s="895"/>
      <c r="E35" s="895"/>
      <c r="F35" s="895"/>
      <c r="G35" s="895"/>
      <c r="H35" s="896"/>
      <c r="I35" s="897" t="s">
        <v>201</v>
      </c>
      <c r="J35" s="898"/>
      <c r="K35" s="899"/>
      <c r="L35" s="853" t="s">
        <v>202</v>
      </c>
      <c r="M35" s="854"/>
      <c r="N35" s="854"/>
      <c r="O35" s="854"/>
      <c r="P35" s="854"/>
      <c r="Q35" s="854"/>
      <c r="R35" s="855"/>
      <c r="S35" s="900" t="s">
        <v>203</v>
      </c>
      <c r="T35" s="875"/>
      <c r="U35" s="875"/>
      <c r="V35" s="875"/>
      <c r="W35" s="875"/>
      <c r="X35" s="901"/>
    </row>
    <row r="36" spans="2:24" ht="18" customHeight="1">
      <c r="B36" s="107">
        <v>1</v>
      </c>
      <c r="C36" s="881"/>
      <c r="D36" s="882"/>
      <c r="E36" s="882"/>
      <c r="F36" s="882"/>
      <c r="G36" s="882"/>
      <c r="H36" s="883"/>
      <c r="I36" s="868"/>
      <c r="J36" s="884"/>
      <c r="K36" s="885"/>
      <c r="L36" s="886"/>
      <c r="M36" s="887"/>
      <c r="N36" s="887"/>
      <c r="O36" s="887"/>
      <c r="P36" s="887"/>
      <c r="Q36" s="887"/>
      <c r="R36" s="888"/>
      <c r="S36" s="889"/>
      <c r="T36" s="890"/>
      <c r="U36" s="890"/>
      <c r="V36" s="890"/>
      <c r="W36" s="890"/>
      <c r="X36" s="891"/>
    </row>
    <row r="37" spans="2:24" ht="18" customHeight="1">
      <c r="B37" s="107">
        <v>2</v>
      </c>
      <c r="C37" s="881"/>
      <c r="D37" s="882"/>
      <c r="E37" s="882"/>
      <c r="F37" s="882"/>
      <c r="G37" s="882"/>
      <c r="H37" s="883"/>
      <c r="I37" s="868"/>
      <c r="J37" s="884"/>
      <c r="K37" s="885"/>
      <c r="L37" s="886"/>
      <c r="M37" s="887"/>
      <c r="N37" s="887"/>
      <c r="O37" s="887"/>
      <c r="P37" s="887"/>
      <c r="Q37" s="887"/>
      <c r="R37" s="888"/>
      <c r="S37" s="889"/>
      <c r="T37" s="890"/>
      <c r="U37" s="890"/>
      <c r="V37" s="890"/>
      <c r="W37" s="890"/>
      <c r="X37" s="891"/>
    </row>
    <row r="38" spans="2:24" ht="18" customHeight="1">
      <c r="B38" s="107">
        <v>3</v>
      </c>
      <c r="C38" s="881"/>
      <c r="D38" s="882"/>
      <c r="E38" s="882"/>
      <c r="F38" s="882"/>
      <c r="G38" s="882"/>
      <c r="H38" s="883"/>
      <c r="I38" s="868"/>
      <c r="J38" s="884"/>
      <c r="K38" s="885"/>
      <c r="L38" s="886"/>
      <c r="M38" s="887"/>
      <c r="N38" s="887"/>
      <c r="O38" s="887"/>
      <c r="P38" s="887"/>
      <c r="Q38" s="887"/>
      <c r="R38" s="888"/>
      <c r="S38" s="889"/>
      <c r="T38" s="890"/>
      <c r="U38" s="890"/>
      <c r="V38" s="890"/>
      <c r="W38" s="890"/>
      <c r="X38" s="891"/>
    </row>
    <row r="39" spans="2:24" ht="18" customHeight="1">
      <c r="B39" s="107">
        <v>4</v>
      </c>
      <c r="C39" s="881"/>
      <c r="D39" s="882"/>
      <c r="E39" s="882"/>
      <c r="F39" s="882"/>
      <c r="G39" s="882"/>
      <c r="H39" s="883"/>
      <c r="I39" s="868"/>
      <c r="J39" s="884"/>
      <c r="K39" s="885"/>
      <c r="L39" s="886"/>
      <c r="M39" s="887"/>
      <c r="N39" s="887"/>
      <c r="O39" s="887"/>
      <c r="P39" s="887"/>
      <c r="Q39" s="887"/>
      <c r="R39" s="888"/>
      <c r="S39" s="889"/>
      <c r="T39" s="890"/>
      <c r="U39" s="890"/>
      <c r="V39" s="890"/>
      <c r="W39" s="890"/>
      <c r="X39" s="891"/>
    </row>
    <row r="40" spans="2:24" ht="18" customHeight="1">
      <c r="B40" s="107">
        <v>5</v>
      </c>
      <c r="C40" s="881"/>
      <c r="D40" s="882"/>
      <c r="E40" s="882"/>
      <c r="F40" s="882"/>
      <c r="G40" s="882"/>
      <c r="H40" s="883"/>
      <c r="I40" s="868"/>
      <c r="J40" s="884"/>
      <c r="K40" s="885"/>
      <c r="L40" s="886"/>
      <c r="M40" s="887"/>
      <c r="N40" s="887"/>
      <c r="O40" s="887"/>
      <c r="P40" s="887"/>
      <c r="Q40" s="887"/>
      <c r="R40" s="888"/>
      <c r="S40" s="889"/>
      <c r="T40" s="890"/>
      <c r="U40" s="890"/>
      <c r="V40" s="890"/>
      <c r="W40" s="890"/>
      <c r="X40" s="891"/>
    </row>
    <row r="41" spans="3:24" ht="18" customHeight="1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09"/>
      <c r="Q41" s="840" t="s">
        <v>181</v>
      </c>
      <c r="R41" s="841"/>
      <c r="S41" s="892">
        <f>SUM(S36:X40)</f>
        <v>0</v>
      </c>
      <c r="T41" s="823"/>
      <c r="U41" s="823"/>
      <c r="V41" s="823"/>
      <c r="W41" s="823"/>
      <c r="X41" s="824"/>
    </row>
    <row r="42" spans="1:24" ht="18" customHeight="1">
      <c r="A42" s="103">
        <v>6</v>
      </c>
      <c r="B42" s="849" t="s">
        <v>204</v>
      </c>
      <c r="C42" s="849"/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109"/>
      <c r="V42" s="109"/>
      <c r="W42" s="109"/>
      <c r="X42" s="109"/>
    </row>
    <row r="43" spans="2:24" ht="18" customHeight="1">
      <c r="B43" s="106" t="s">
        <v>173</v>
      </c>
      <c r="C43" s="862" t="s">
        <v>205</v>
      </c>
      <c r="D43" s="875"/>
      <c r="E43" s="875"/>
      <c r="F43" s="875"/>
      <c r="G43" s="875"/>
      <c r="H43" s="876"/>
      <c r="I43" s="853" t="s">
        <v>206</v>
      </c>
      <c r="J43" s="864"/>
      <c r="K43" s="864"/>
      <c r="L43" s="863" t="s">
        <v>167</v>
      </c>
      <c r="M43" s="864"/>
      <c r="N43" s="864"/>
      <c r="O43" s="864"/>
      <c r="P43" s="864"/>
      <c r="Q43" s="864"/>
      <c r="R43" s="865"/>
      <c r="S43" s="863" t="s">
        <v>207</v>
      </c>
      <c r="T43" s="856"/>
      <c r="U43" s="856"/>
      <c r="V43" s="856"/>
      <c r="W43" s="856"/>
      <c r="X43" s="857"/>
    </row>
    <row r="44" spans="2:24" ht="18" customHeight="1">
      <c r="B44" s="107">
        <v>1</v>
      </c>
      <c r="C44" s="860" t="s">
        <v>208</v>
      </c>
      <c r="D44" s="877"/>
      <c r="E44" s="877"/>
      <c r="F44" s="877"/>
      <c r="G44" s="877"/>
      <c r="H44" s="878"/>
      <c r="I44" s="879" t="s">
        <v>208</v>
      </c>
      <c r="J44" s="880"/>
      <c r="K44" s="880"/>
      <c r="L44" s="834" t="s">
        <v>208</v>
      </c>
      <c r="M44" s="835"/>
      <c r="N44" s="835"/>
      <c r="O44" s="835"/>
      <c r="P44" s="835"/>
      <c r="Q44" s="835"/>
      <c r="R44" s="836"/>
      <c r="S44" s="846"/>
      <c r="T44" s="847"/>
      <c r="U44" s="847"/>
      <c r="V44" s="847"/>
      <c r="W44" s="847"/>
      <c r="X44" s="848"/>
    </row>
    <row r="45" spans="2:24" ht="18" customHeight="1">
      <c r="B45" s="107">
        <v>2</v>
      </c>
      <c r="C45" s="858" t="s">
        <v>208</v>
      </c>
      <c r="D45" s="866"/>
      <c r="E45" s="866"/>
      <c r="F45" s="866"/>
      <c r="G45" s="866"/>
      <c r="H45" s="867"/>
      <c r="I45" s="868" t="s">
        <v>208</v>
      </c>
      <c r="J45" s="869"/>
      <c r="K45" s="869"/>
      <c r="L45" s="834" t="s">
        <v>208</v>
      </c>
      <c r="M45" s="835"/>
      <c r="N45" s="835"/>
      <c r="O45" s="835"/>
      <c r="P45" s="835"/>
      <c r="Q45" s="835"/>
      <c r="R45" s="836"/>
      <c r="S45" s="837"/>
      <c r="T45" s="838"/>
      <c r="U45" s="838"/>
      <c r="V45" s="838"/>
      <c r="W45" s="838"/>
      <c r="X45" s="839"/>
    </row>
    <row r="46" spans="2:24" ht="18" customHeight="1">
      <c r="B46" s="107">
        <v>3</v>
      </c>
      <c r="C46" s="870" t="s">
        <v>208</v>
      </c>
      <c r="D46" s="871"/>
      <c r="E46" s="871"/>
      <c r="F46" s="871"/>
      <c r="G46" s="871"/>
      <c r="H46" s="872"/>
      <c r="I46" s="873" t="s">
        <v>208</v>
      </c>
      <c r="J46" s="874"/>
      <c r="K46" s="874"/>
      <c r="L46" s="834" t="s">
        <v>208</v>
      </c>
      <c r="M46" s="835"/>
      <c r="N46" s="835"/>
      <c r="O46" s="835"/>
      <c r="P46" s="835"/>
      <c r="Q46" s="835"/>
      <c r="R46" s="836"/>
      <c r="S46" s="837"/>
      <c r="T46" s="838"/>
      <c r="U46" s="838"/>
      <c r="V46" s="838"/>
      <c r="W46" s="838"/>
      <c r="X46" s="839"/>
    </row>
    <row r="47" spans="3:24" ht="18" customHeight="1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109"/>
      <c r="Q47" s="840" t="s">
        <v>181</v>
      </c>
      <c r="R47" s="841"/>
      <c r="S47" s="822">
        <f>SUM(S44:X46)</f>
        <v>0</v>
      </c>
      <c r="T47" s="823"/>
      <c r="U47" s="823"/>
      <c r="V47" s="823"/>
      <c r="W47" s="823"/>
      <c r="X47" s="824"/>
    </row>
    <row r="48" spans="1:24" ht="18" customHeight="1">
      <c r="A48" s="103">
        <v>7</v>
      </c>
      <c r="B48" s="849" t="s">
        <v>209</v>
      </c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109"/>
      <c r="V48" s="109"/>
      <c r="W48" s="109"/>
      <c r="X48" s="109"/>
    </row>
    <row r="49" spans="2:24" ht="18" customHeight="1">
      <c r="B49" s="106" t="s">
        <v>173</v>
      </c>
      <c r="C49" s="862" t="s">
        <v>210</v>
      </c>
      <c r="D49" s="851"/>
      <c r="E49" s="851"/>
      <c r="F49" s="851"/>
      <c r="G49" s="851"/>
      <c r="H49" s="852"/>
      <c r="I49" s="863" t="s">
        <v>211</v>
      </c>
      <c r="J49" s="851"/>
      <c r="K49" s="852"/>
      <c r="L49" s="863" t="s">
        <v>167</v>
      </c>
      <c r="M49" s="864"/>
      <c r="N49" s="864"/>
      <c r="O49" s="864"/>
      <c r="P49" s="864"/>
      <c r="Q49" s="864"/>
      <c r="R49" s="865"/>
      <c r="S49" s="853" t="s">
        <v>212</v>
      </c>
      <c r="T49" s="856"/>
      <c r="U49" s="856"/>
      <c r="V49" s="856"/>
      <c r="W49" s="856"/>
      <c r="X49" s="857"/>
    </row>
    <row r="50" spans="2:24" ht="18" customHeight="1">
      <c r="B50" s="107">
        <v>1</v>
      </c>
      <c r="C50" s="860"/>
      <c r="D50" s="843"/>
      <c r="E50" s="843"/>
      <c r="F50" s="843"/>
      <c r="G50" s="843"/>
      <c r="H50" s="844"/>
      <c r="I50" s="861" t="s">
        <v>208</v>
      </c>
      <c r="J50" s="843"/>
      <c r="K50" s="844"/>
      <c r="L50" s="834" t="s">
        <v>208</v>
      </c>
      <c r="M50" s="835"/>
      <c r="N50" s="835"/>
      <c r="O50" s="835"/>
      <c r="P50" s="835"/>
      <c r="Q50" s="835"/>
      <c r="R50" s="836"/>
      <c r="S50" s="846"/>
      <c r="T50" s="847"/>
      <c r="U50" s="847"/>
      <c r="V50" s="847"/>
      <c r="W50" s="847"/>
      <c r="X50" s="848"/>
    </row>
    <row r="51" spans="2:24" ht="18" customHeight="1">
      <c r="B51" s="107">
        <v>2</v>
      </c>
      <c r="C51" s="858" t="s">
        <v>208</v>
      </c>
      <c r="D51" s="831"/>
      <c r="E51" s="831"/>
      <c r="F51" s="831"/>
      <c r="G51" s="831"/>
      <c r="H51" s="832"/>
      <c r="I51" s="859" t="s">
        <v>208</v>
      </c>
      <c r="J51" s="831"/>
      <c r="K51" s="832"/>
      <c r="L51" s="834" t="s">
        <v>208</v>
      </c>
      <c r="M51" s="835"/>
      <c r="N51" s="835"/>
      <c r="O51" s="835"/>
      <c r="P51" s="835"/>
      <c r="Q51" s="835"/>
      <c r="R51" s="836"/>
      <c r="S51" s="837"/>
      <c r="T51" s="838"/>
      <c r="U51" s="838"/>
      <c r="V51" s="838"/>
      <c r="W51" s="838"/>
      <c r="X51" s="839"/>
    </row>
    <row r="52" spans="2:24" ht="18" customHeight="1">
      <c r="B52" s="107">
        <v>3</v>
      </c>
      <c r="C52" s="858" t="s">
        <v>208</v>
      </c>
      <c r="D52" s="831"/>
      <c r="E52" s="831"/>
      <c r="F52" s="831"/>
      <c r="G52" s="831"/>
      <c r="H52" s="832"/>
      <c r="I52" s="859" t="s">
        <v>208</v>
      </c>
      <c r="J52" s="831"/>
      <c r="K52" s="832"/>
      <c r="L52" s="834" t="s">
        <v>208</v>
      </c>
      <c r="M52" s="835"/>
      <c r="N52" s="835"/>
      <c r="O52" s="835"/>
      <c r="P52" s="835"/>
      <c r="Q52" s="835"/>
      <c r="R52" s="836"/>
      <c r="S52" s="837"/>
      <c r="T52" s="838"/>
      <c r="U52" s="838"/>
      <c r="V52" s="838"/>
      <c r="W52" s="838"/>
      <c r="X52" s="839"/>
    </row>
    <row r="53" spans="2:24" ht="18" customHeight="1">
      <c r="B53" s="107">
        <v>4</v>
      </c>
      <c r="C53" s="858" t="s">
        <v>208</v>
      </c>
      <c r="D53" s="831"/>
      <c r="E53" s="831"/>
      <c r="F53" s="831"/>
      <c r="G53" s="831"/>
      <c r="H53" s="832"/>
      <c r="I53" s="859" t="s">
        <v>208</v>
      </c>
      <c r="J53" s="831"/>
      <c r="K53" s="832"/>
      <c r="L53" s="834" t="s">
        <v>208</v>
      </c>
      <c r="M53" s="835"/>
      <c r="N53" s="835"/>
      <c r="O53" s="835"/>
      <c r="P53" s="835"/>
      <c r="Q53" s="835"/>
      <c r="R53" s="836"/>
      <c r="S53" s="837"/>
      <c r="T53" s="838"/>
      <c r="U53" s="838"/>
      <c r="V53" s="838"/>
      <c r="W53" s="838"/>
      <c r="X53" s="839"/>
    </row>
    <row r="54" spans="3:24" ht="18" customHeight="1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9"/>
      <c r="Q54" s="840" t="s">
        <v>181</v>
      </c>
      <c r="R54" s="841"/>
      <c r="S54" s="822">
        <f>SUM(S50:X53)</f>
        <v>0</v>
      </c>
      <c r="T54" s="823"/>
      <c r="U54" s="823"/>
      <c r="V54" s="823"/>
      <c r="W54" s="823"/>
      <c r="X54" s="824"/>
    </row>
    <row r="55" spans="1:24" ht="18" customHeight="1">
      <c r="A55" s="103">
        <v>8</v>
      </c>
      <c r="B55" s="849" t="s">
        <v>213</v>
      </c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109"/>
      <c r="V55" s="109"/>
      <c r="W55" s="109"/>
      <c r="X55" s="109"/>
    </row>
    <row r="56" spans="2:24" ht="18" customHeight="1">
      <c r="B56" s="106" t="s">
        <v>173</v>
      </c>
      <c r="C56" s="850" t="s">
        <v>214</v>
      </c>
      <c r="D56" s="851"/>
      <c r="E56" s="851"/>
      <c r="F56" s="851"/>
      <c r="G56" s="851"/>
      <c r="H56" s="852"/>
      <c r="I56" s="853" t="s">
        <v>215</v>
      </c>
      <c r="J56" s="851"/>
      <c r="K56" s="852"/>
      <c r="L56" s="853" t="s">
        <v>216</v>
      </c>
      <c r="M56" s="854"/>
      <c r="N56" s="854"/>
      <c r="O56" s="854"/>
      <c r="P56" s="854"/>
      <c r="Q56" s="854"/>
      <c r="R56" s="855"/>
      <c r="S56" s="853" t="s">
        <v>217</v>
      </c>
      <c r="T56" s="856"/>
      <c r="U56" s="856"/>
      <c r="V56" s="856"/>
      <c r="W56" s="856"/>
      <c r="X56" s="857"/>
    </row>
    <row r="57" spans="2:24" ht="18" customHeight="1">
      <c r="B57" s="107">
        <v>1</v>
      </c>
      <c r="C57" s="842"/>
      <c r="D57" s="843"/>
      <c r="E57" s="843"/>
      <c r="F57" s="843"/>
      <c r="G57" s="843"/>
      <c r="H57" s="844"/>
      <c r="I57" s="845"/>
      <c r="J57" s="843"/>
      <c r="K57" s="844"/>
      <c r="L57" s="834" t="s">
        <v>218</v>
      </c>
      <c r="M57" s="835"/>
      <c r="N57" s="835"/>
      <c r="O57" s="835"/>
      <c r="P57" s="835"/>
      <c r="Q57" s="835"/>
      <c r="R57" s="836"/>
      <c r="S57" s="846"/>
      <c r="T57" s="847"/>
      <c r="U57" s="847"/>
      <c r="V57" s="847"/>
      <c r="W57" s="847"/>
      <c r="X57" s="848"/>
    </row>
    <row r="58" spans="2:24" ht="18" customHeight="1">
      <c r="B58" s="107">
        <v>2</v>
      </c>
      <c r="C58" s="830"/>
      <c r="D58" s="831"/>
      <c r="E58" s="831"/>
      <c r="F58" s="831"/>
      <c r="G58" s="831"/>
      <c r="H58" s="832"/>
      <c r="I58" s="833"/>
      <c r="J58" s="831"/>
      <c r="K58" s="832"/>
      <c r="L58" s="834" t="s">
        <v>218</v>
      </c>
      <c r="M58" s="835"/>
      <c r="N58" s="835"/>
      <c r="O58" s="835"/>
      <c r="P58" s="835"/>
      <c r="Q58" s="835"/>
      <c r="R58" s="836"/>
      <c r="S58" s="837"/>
      <c r="T58" s="838"/>
      <c r="U58" s="838"/>
      <c r="V58" s="838"/>
      <c r="W58" s="838"/>
      <c r="X58" s="839"/>
    </row>
    <row r="59" spans="2:24" ht="18" customHeight="1">
      <c r="B59" s="107">
        <v>3</v>
      </c>
      <c r="C59" s="830"/>
      <c r="D59" s="831"/>
      <c r="E59" s="831"/>
      <c r="F59" s="831"/>
      <c r="G59" s="831"/>
      <c r="H59" s="832"/>
      <c r="I59" s="833"/>
      <c r="J59" s="831"/>
      <c r="K59" s="832"/>
      <c r="L59" s="834" t="s">
        <v>218</v>
      </c>
      <c r="M59" s="835"/>
      <c r="N59" s="835"/>
      <c r="O59" s="835"/>
      <c r="P59" s="835"/>
      <c r="Q59" s="835"/>
      <c r="R59" s="836"/>
      <c r="S59" s="837"/>
      <c r="T59" s="838"/>
      <c r="U59" s="838"/>
      <c r="V59" s="838"/>
      <c r="W59" s="838"/>
      <c r="X59" s="839"/>
    </row>
    <row r="60" spans="3:24" ht="18" customHeight="1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0"/>
      <c r="P60" s="109"/>
      <c r="Q60" s="840" t="s">
        <v>181</v>
      </c>
      <c r="R60" s="841"/>
      <c r="S60" s="822">
        <f>SUM(S57:X59)</f>
        <v>0</v>
      </c>
      <c r="T60" s="823"/>
      <c r="U60" s="823"/>
      <c r="V60" s="823"/>
      <c r="W60" s="823"/>
      <c r="X60" s="824"/>
    </row>
    <row r="61" spans="3:24" ht="18" customHeight="1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3:24" ht="18" customHeight="1"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819" t="s">
        <v>312</v>
      </c>
      <c r="P62" s="820"/>
      <c r="Q62" s="820"/>
      <c r="R62" s="821"/>
      <c r="S62" s="822">
        <f>S10+S19+U25+S33+S41+S47+S54</f>
        <v>0</v>
      </c>
      <c r="T62" s="823"/>
      <c r="U62" s="823"/>
      <c r="V62" s="823"/>
      <c r="W62" s="823"/>
      <c r="X62" s="824"/>
    </row>
    <row r="63" spans="3:24" ht="18" customHeight="1" thickBot="1"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4"/>
      <c r="T63" s="114"/>
      <c r="U63" s="114"/>
      <c r="V63" s="114"/>
      <c r="W63" s="114"/>
      <c r="X63" s="114"/>
    </row>
    <row r="64" spans="3:24" ht="18" customHeight="1" thickBot="1"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819" t="s">
        <v>219</v>
      </c>
      <c r="N64" s="820"/>
      <c r="O64" s="820"/>
      <c r="P64" s="820"/>
      <c r="Q64" s="820"/>
      <c r="R64" s="820"/>
      <c r="S64" s="1050">
        <f>S62-S60</f>
        <v>0</v>
      </c>
      <c r="T64" s="1051"/>
      <c r="U64" s="1051"/>
      <c r="V64" s="1051"/>
      <c r="W64" s="1051"/>
      <c r="X64" s="1052"/>
    </row>
    <row r="65" spans="3:24" ht="18" customHeight="1">
      <c r="C65" s="109"/>
      <c r="D65" s="109"/>
      <c r="E65" s="109"/>
      <c r="F65" s="109"/>
      <c r="G65" s="109"/>
      <c r="H65" s="109"/>
      <c r="I65" s="109"/>
      <c r="J65" s="109"/>
      <c r="K65" s="109"/>
      <c r="L65" s="113"/>
      <c r="M65" s="109"/>
      <c r="N65" s="109"/>
      <c r="O65" s="109"/>
      <c r="P65" s="109"/>
      <c r="Q65" s="109"/>
      <c r="R65" s="109"/>
      <c r="S65" s="115"/>
      <c r="T65" s="116"/>
      <c r="U65" s="116"/>
      <c r="V65" s="116"/>
      <c r="W65" s="116"/>
      <c r="X65" s="116"/>
    </row>
  </sheetData>
  <sheetProtection password="CBAE" sheet="1" selectLockedCells="1"/>
  <mergeCells count="208">
    <mergeCell ref="AB7:AC7"/>
    <mergeCell ref="B1:X1"/>
    <mergeCell ref="B2:X2"/>
    <mergeCell ref="B4:G4"/>
    <mergeCell ref="B5:T5"/>
    <mergeCell ref="U5:X5"/>
    <mergeCell ref="C6:J6"/>
    <mergeCell ref="AB8:AC8"/>
    <mergeCell ref="K6:M6"/>
    <mergeCell ref="N6:P6"/>
    <mergeCell ref="N8:P8"/>
    <mergeCell ref="Q8:T8"/>
    <mergeCell ref="U8:X8"/>
    <mergeCell ref="Y8:Z8"/>
    <mergeCell ref="Y6:AC6"/>
    <mergeCell ref="Q6:T6"/>
    <mergeCell ref="U6:X6"/>
    <mergeCell ref="U9:X9"/>
    <mergeCell ref="Y9:Z9"/>
    <mergeCell ref="C7:J7"/>
    <mergeCell ref="K7:M7"/>
    <mergeCell ref="N7:P7"/>
    <mergeCell ref="Q7:T7"/>
    <mergeCell ref="U7:X7"/>
    <mergeCell ref="Y7:Z7"/>
    <mergeCell ref="AB9:AC9"/>
    <mergeCell ref="C8:J8"/>
    <mergeCell ref="K8:M8"/>
    <mergeCell ref="Q10:R10"/>
    <mergeCell ref="S10:X10"/>
    <mergeCell ref="B11:T11"/>
    <mergeCell ref="C9:J9"/>
    <mergeCell ref="K9:M9"/>
    <mergeCell ref="N9:P9"/>
    <mergeCell ref="Q9:T9"/>
    <mergeCell ref="C12:J12"/>
    <mergeCell ref="K12:M12"/>
    <mergeCell ref="N12:P12"/>
    <mergeCell ref="Q12:T12"/>
    <mergeCell ref="U12:X12"/>
    <mergeCell ref="Y12:AC12"/>
    <mergeCell ref="B13:B15"/>
    <mergeCell ref="C13:J15"/>
    <mergeCell ref="K13:M15"/>
    <mergeCell ref="N13:P15"/>
    <mergeCell ref="R13:T13"/>
    <mergeCell ref="U13:X15"/>
    <mergeCell ref="Y13:Z13"/>
    <mergeCell ref="AB13:AC13"/>
    <mergeCell ref="R14:T14"/>
    <mergeCell ref="Y14:AC15"/>
    <mergeCell ref="R15:T15"/>
    <mergeCell ref="B16:B18"/>
    <mergeCell ref="C16:J18"/>
    <mergeCell ref="K16:M18"/>
    <mergeCell ref="N16:P18"/>
    <mergeCell ref="R16:T16"/>
    <mergeCell ref="U16:X18"/>
    <mergeCell ref="Y16:Z16"/>
    <mergeCell ref="AB16:AC16"/>
    <mergeCell ref="R17:T17"/>
    <mergeCell ref="Y17:AC18"/>
    <mergeCell ref="R18:T18"/>
    <mergeCell ref="Q19:R19"/>
    <mergeCell ref="S19:X19"/>
    <mergeCell ref="B20:T20"/>
    <mergeCell ref="C21:H21"/>
    <mergeCell ref="I21:K21"/>
    <mergeCell ref="L21:O21"/>
    <mergeCell ref="P21:T21"/>
    <mergeCell ref="U21:X21"/>
    <mergeCell ref="C22:H22"/>
    <mergeCell ref="I22:K22"/>
    <mergeCell ref="L22:O22"/>
    <mergeCell ref="P22:T22"/>
    <mergeCell ref="U22:X22"/>
    <mergeCell ref="C23:H23"/>
    <mergeCell ref="I23:K23"/>
    <mergeCell ref="L23:O23"/>
    <mergeCell ref="P23:T23"/>
    <mergeCell ref="U23:X23"/>
    <mergeCell ref="C24:H24"/>
    <mergeCell ref="I24:K24"/>
    <mergeCell ref="L24:O24"/>
    <mergeCell ref="P24:T24"/>
    <mergeCell ref="U24:X24"/>
    <mergeCell ref="S25:T25"/>
    <mergeCell ref="U25:X25"/>
    <mergeCell ref="B26:T26"/>
    <mergeCell ref="C27:H27"/>
    <mergeCell ref="I27:K27"/>
    <mergeCell ref="L27:R27"/>
    <mergeCell ref="S27:X27"/>
    <mergeCell ref="C28:H28"/>
    <mergeCell ref="I28:K28"/>
    <mergeCell ref="L28:R28"/>
    <mergeCell ref="S28:X28"/>
    <mergeCell ref="C29:H29"/>
    <mergeCell ref="I29:K29"/>
    <mergeCell ref="L29:R29"/>
    <mergeCell ref="S29:X29"/>
    <mergeCell ref="C30:H30"/>
    <mergeCell ref="I30:K30"/>
    <mergeCell ref="L30:R30"/>
    <mergeCell ref="S30:X30"/>
    <mergeCell ref="C31:H31"/>
    <mergeCell ref="I31:K31"/>
    <mergeCell ref="L31:R31"/>
    <mergeCell ref="S31:X31"/>
    <mergeCell ref="C32:H32"/>
    <mergeCell ref="I32:K32"/>
    <mergeCell ref="L32:R32"/>
    <mergeCell ref="S32:X32"/>
    <mergeCell ref="Q33:R33"/>
    <mergeCell ref="S33:X33"/>
    <mergeCell ref="B34:T34"/>
    <mergeCell ref="U34:X34"/>
    <mergeCell ref="C35:H35"/>
    <mergeCell ref="I35:K35"/>
    <mergeCell ref="L35:R35"/>
    <mergeCell ref="S35:X35"/>
    <mergeCell ref="C36:H36"/>
    <mergeCell ref="I36:K36"/>
    <mergeCell ref="L36:R36"/>
    <mergeCell ref="S36:X36"/>
    <mergeCell ref="C37:H37"/>
    <mergeCell ref="I37:K37"/>
    <mergeCell ref="L37:R37"/>
    <mergeCell ref="S37:X37"/>
    <mergeCell ref="C38:H38"/>
    <mergeCell ref="I38:K38"/>
    <mergeCell ref="L38:R38"/>
    <mergeCell ref="S38:X38"/>
    <mergeCell ref="C39:H39"/>
    <mergeCell ref="I39:K39"/>
    <mergeCell ref="L39:R39"/>
    <mergeCell ref="S39:X39"/>
    <mergeCell ref="C40:H40"/>
    <mergeCell ref="I40:K40"/>
    <mergeCell ref="L40:R40"/>
    <mergeCell ref="S40:X40"/>
    <mergeCell ref="Q41:R41"/>
    <mergeCell ref="S41:X41"/>
    <mergeCell ref="B42:T42"/>
    <mergeCell ref="C43:H43"/>
    <mergeCell ref="I43:K43"/>
    <mergeCell ref="L43:R43"/>
    <mergeCell ref="S43:X43"/>
    <mergeCell ref="C44:H44"/>
    <mergeCell ref="I44:K44"/>
    <mergeCell ref="L44:R44"/>
    <mergeCell ref="S44:X44"/>
    <mergeCell ref="C45:H45"/>
    <mergeCell ref="I45:K45"/>
    <mergeCell ref="L45:R45"/>
    <mergeCell ref="S45:X45"/>
    <mergeCell ref="C46:H46"/>
    <mergeCell ref="I46:K46"/>
    <mergeCell ref="L46:R46"/>
    <mergeCell ref="S46:X46"/>
    <mergeCell ref="Q47:R47"/>
    <mergeCell ref="S47:X47"/>
    <mergeCell ref="B48:T48"/>
    <mergeCell ref="C49:H49"/>
    <mergeCell ref="I49:K49"/>
    <mergeCell ref="L49:R49"/>
    <mergeCell ref="S49:X49"/>
    <mergeCell ref="C50:H50"/>
    <mergeCell ref="I50:K50"/>
    <mergeCell ref="L50:R50"/>
    <mergeCell ref="S50:X50"/>
    <mergeCell ref="C51:H51"/>
    <mergeCell ref="I51:K51"/>
    <mergeCell ref="L51:R51"/>
    <mergeCell ref="S51:X51"/>
    <mergeCell ref="C52:H52"/>
    <mergeCell ref="I52:K52"/>
    <mergeCell ref="L52:R52"/>
    <mergeCell ref="S52:X52"/>
    <mergeCell ref="C53:H53"/>
    <mergeCell ref="I53:K53"/>
    <mergeCell ref="L53:R53"/>
    <mergeCell ref="S53:X53"/>
    <mergeCell ref="Q54:R54"/>
    <mergeCell ref="S54:X54"/>
    <mergeCell ref="B55:T55"/>
    <mergeCell ref="C56:H56"/>
    <mergeCell ref="I56:K56"/>
    <mergeCell ref="L56:R56"/>
    <mergeCell ref="S56:X56"/>
    <mergeCell ref="C57:H57"/>
    <mergeCell ref="I57:K57"/>
    <mergeCell ref="L57:R57"/>
    <mergeCell ref="S57:X57"/>
    <mergeCell ref="C58:H58"/>
    <mergeCell ref="I58:K58"/>
    <mergeCell ref="L58:R58"/>
    <mergeCell ref="S58:X58"/>
    <mergeCell ref="O62:R62"/>
    <mergeCell ref="S62:X62"/>
    <mergeCell ref="M64:R64"/>
    <mergeCell ref="S64:X64"/>
    <mergeCell ref="C59:H59"/>
    <mergeCell ref="I59:K59"/>
    <mergeCell ref="L59:R59"/>
    <mergeCell ref="S59:X59"/>
    <mergeCell ref="Q60:R60"/>
    <mergeCell ref="S60:X60"/>
  </mergeCells>
  <dataValidations count="1">
    <dataValidation type="list" allowBlank="1" showInputMessage="1" showErrorMessage="1" sqref="I28:K32">
      <formula1>"普通,当座,別段,貯蓄"</formula1>
    </dataValidation>
  </dataValidations>
  <printOptions/>
  <pageMargins left="0.7874015748031497" right="0" top="0.5905511811023623" bottom="0.1968503937007874" header="0.5118110236220472" footer="0.5118110236220472"/>
  <pageSetup horizontalDpi="300" verticalDpi="3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K40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.421875" style="0" bestFit="1" customWidth="1"/>
    <col min="3" max="3" width="9.28125" style="0" bestFit="1" customWidth="1"/>
    <col min="4" max="4" width="5.421875" style="0" bestFit="1" customWidth="1"/>
    <col min="5" max="5" width="2.421875" style="0" bestFit="1" customWidth="1"/>
    <col min="6" max="6" width="3.421875" style="0" bestFit="1" customWidth="1"/>
    <col min="7" max="7" width="9.28125" style="0" bestFit="1" customWidth="1"/>
    <col min="8" max="8" width="5.421875" style="0" bestFit="1" customWidth="1"/>
    <col min="11" max="11" width="5.421875" style="0" bestFit="1" customWidth="1"/>
  </cols>
  <sheetData>
    <row r="2" spans="3:8" ht="13.5">
      <c r="C2" s="77" t="s">
        <v>162</v>
      </c>
      <c r="D2" s="6">
        <v>1</v>
      </c>
      <c r="E2" s="548" t="str">
        <f>CHOOSE(D2,"事業所得者","給与所得者","")</f>
        <v>事業所得者</v>
      </c>
      <c r="F2" s="548"/>
      <c r="G2" s="548"/>
      <c r="H2" s="548"/>
    </row>
    <row r="3" spans="3:8" ht="13.5">
      <c r="C3" s="77" t="s">
        <v>163</v>
      </c>
      <c r="D3" s="540">
        <f>1500000</f>
        <v>1500000</v>
      </c>
      <c r="E3" s="540"/>
      <c r="F3" s="540"/>
      <c r="G3" s="540"/>
      <c r="H3" s="540"/>
    </row>
    <row r="4" spans="4:8" ht="13.5">
      <c r="D4" s="540">
        <f>IF(INT(D3/10000)&lt;C8,D8,IF(INT(D3/10000)&lt;C9,D9,IF(INT(D3/10000)&lt;C10,D10,IF(INT(D3/10000)&lt;C11,D11,IF(INT(D3/10000)&lt;C12,D12,D13)))))</f>
        <v>0.52</v>
      </c>
      <c r="E4" s="540"/>
      <c r="F4" s="540"/>
      <c r="G4" s="540"/>
      <c r="H4" s="540"/>
    </row>
    <row r="5" spans="4:8" ht="13.5">
      <c r="D5" s="540">
        <f>VLOOKUP(INT(D3/50000+1)*50000,J7:K406,2,0)</f>
        <v>0.39</v>
      </c>
      <c r="E5" s="540"/>
      <c r="F5" s="540"/>
      <c r="G5" s="540"/>
      <c r="H5" s="540"/>
    </row>
    <row r="7" spans="2:11" ht="13.5">
      <c r="B7" s="549" t="s">
        <v>159</v>
      </c>
      <c r="C7" s="549"/>
      <c r="D7" s="549"/>
      <c r="E7" s="81"/>
      <c r="F7" s="549" t="s">
        <v>160</v>
      </c>
      <c r="G7" s="549"/>
      <c r="H7" s="549"/>
      <c r="J7" s="77">
        <v>50000</v>
      </c>
      <c r="K7" s="77">
        <v>0.42</v>
      </c>
    </row>
    <row r="8" spans="2:11" ht="13.5">
      <c r="B8" s="83" t="s">
        <v>161</v>
      </c>
      <c r="C8" s="82">
        <v>421</v>
      </c>
      <c r="D8" s="84">
        <v>0.52</v>
      </c>
      <c r="E8" s="81"/>
      <c r="F8" s="83" t="s">
        <v>161</v>
      </c>
      <c r="G8" s="82">
        <v>100</v>
      </c>
      <c r="H8" s="84">
        <v>0.42</v>
      </c>
      <c r="J8" s="77">
        <v>100000</v>
      </c>
      <c r="K8" s="77">
        <v>0.42</v>
      </c>
    </row>
    <row r="9" spans="2:11" ht="13.5">
      <c r="B9" s="83" t="s">
        <v>161</v>
      </c>
      <c r="C9" s="82">
        <v>526</v>
      </c>
      <c r="D9" s="84">
        <v>0.51</v>
      </c>
      <c r="E9" s="81"/>
      <c r="F9" s="83" t="s">
        <v>161</v>
      </c>
      <c r="G9" s="82">
        <v>125</v>
      </c>
      <c r="H9" s="84">
        <v>0.41</v>
      </c>
      <c r="J9" s="77">
        <v>150000</v>
      </c>
      <c r="K9" s="77">
        <v>0.42</v>
      </c>
    </row>
    <row r="10" spans="2:11" ht="13.5">
      <c r="B10" s="83" t="s">
        <v>161</v>
      </c>
      <c r="C10" s="82">
        <v>870</v>
      </c>
      <c r="D10" s="84">
        <v>0.5</v>
      </c>
      <c r="E10" s="81"/>
      <c r="F10" s="83" t="s">
        <v>161</v>
      </c>
      <c r="G10" s="82">
        <v>150</v>
      </c>
      <c r="H10" s="84">
        <v>0.4</v>
      </c>
      <c r="J10" s="77">
        <v>200000</v>
      </c>
      <c r="K10" s="77">
        <v>0.42</v>
      </c>
    </row>
    <row r="11" spans="2:11" ht="13.5">
      <c r="B11" s="83" t="s">
        <v>161</v>
      </c>
      <c r="C11" s="82">
        <v>975</v>
      </c>
      <c r="D11" s="84">
        <v>0.49</v>
      </c>
      <c r="E11" s="81"/>
      <c r="F11" s="83" t="s">
        <v>161</v>
      </c>
      <c r="G11" s="82">
        <v>250</v>
      </c>
      <c r="H11" s="84">
        <v>0.39</v>
      </c>
      <c r="J11" s="77">
        <v>250000</v>
      </c>
      <c r="K11" s="77">
        <v>0.42</v>
      </c>
    </row>
    <row r="12" spans="2:11" ht="13.5">
      <c r="B12" s="83" t="s">
        <v>161</v>
      </c>
      <c r="C12" s="82">
        <v>1144</v>
      </c>
      <c r="D12" s="84">
        <v>0.48</v>
      </c>
      <c r="E12" s="81"/>
      <c r="F12" s="83" t="s">
        <v>161</v>
      </c>
      <c r="G12" s="82">
        <v>500</v>
      </c>
      <c r="H12" s="84">
        <v>0.38</v>
      </c>
      <c r="J12" s="77">
        <v>300000</v>
      </c>
      <c r="K12" s="77">
        <v>0.42</v>
      </c>
    </row>
    <row r="13" spans="2:11" ht="13.5">
      <c r="B13" s="83" t="s">
        <v>161</v>
      </c>
      <c r="C13" s="82">
        <v>1409</v>
      </c>
      <c r="D13" s="84">
        <v>0.47</v>
      </c>
      <c r="E13" s="81"/>
      <c r="F13" s="83" t="s">
        <v>161</v>
      </c>
      <c r="G13" s="82">
        <v>700</v>
      </c>
      <c r="H13" s="84">
        <v>0.37</v>
      </c>
      <c r="J13" s="77">
        <v>350000</v>
      </c>
      <c r="K13" s="77">
        <v>0.42</v>
      </c>
    </row>
    <row r="14" spans="2:11" ht="13.5">
      <c r="B14" s="81"/>
      <c r="C14" s="81"/>
      <c r="D14" s="81"/>
      <c r="E14" s="81"/>
      <c r="F14" s="83" t="s">
        <v>161</v>
      </c>
      <c r="G14" s="82">
        <v>850</v>
      </c>
      <c r="H14" s="84">
        <v>0.36</v>
      </c>
      <c r="J14" s="77">
        <v>400000</v>
      </c>
      <c r="K14" s="77">
        <v>0.42</v>
      </c>
    </row>
    <row r="15" spans="2:11" ht="13.5">
      <c r="B15" s="81"/>
      <c r="C15" s="81"/>
      <c r="D15" s="81"/>
      <c r="E15" s="81"/>
      <c r="F15" s="83" t="s">
        <v>161</v>
      </c>
      <c r="G15" s="82">
        <v>1350</v>
      </c>
      <c r="H15" s="84">
        <v>0.35</v>
      </c>
      <c r="J15" s="77">
        <v>450000</v>
      </c>
      <c r="K15" s="77">
        <v>0.42</v>
      </c>
    </row>
    <row r="16" spans="2:11" ht="13.5">
      <c r="B16" s="81"/>
      <c r="C16" s="81"/>
      <c r="D16" s="81"/>
      <c r="E16" s="81"/>
      <c r="F16" s="83" t="s">
        <v>161</v>
      </c>
      <c r="G16" s="82">
        <v>2000</v>
      </c>
      <c r="H16" s="84">
        <v>0.34</v>
      </c>
      <c r="J16" s="77">
        <v>500000</v>
      </c>
      <c r="K16" s="77">
        <v>0.42</v>
      </c>
    </row>
    <row r="17" spans="10:11" ht="13.5">
      <c r="J17" s="77">
        <v>550000</v>
      </c>
      <c r="K17" s="77">
        <v>0.42</v>
      </c>
    </row>
    <row r="18" spans="10:11" ht="13.5">
      <c r="J18" s="77">
        <v>600000</v>
      </c>
      <c r="K18" s="77">
        <v>0.42</v>
      </c>
    </row>
    <row r="19" spans="10:11" ht="13.5">
      <c r="J19" s="77">
        <v>650000</v>
      </c>
      <c r="K19" s="77">
        <v>0.42</v>
      </c>
    </row>
    <row r="20" spans="10:11" ht="13.5">
      <c r="J20" s="77">
        <v>700000</v>
      </c>
      <c r="K20" s="77">
        <v>0.42</v>
      </c>
    </row>
    <row r="21" spans="10:11" ht="13.5">
      <c r="J21" s="77">
        <v>750000</v>
      </c>
      <c r="K21" s="77">
        <v>0.42</v>
      </c>
    </row>
    <row r="22" spans="10:11" ht="13.5">
      <c r="J22" s="77">
        <v>800000</v>
      </c>
      <c r="K22" s="77">
        <v>0.42</v>
      </c>
    </row>
    <row r="23" spans="10:11" ht="13.5">
      <c r="J23" s="77">
        <v>850000</v>
      </c>
      <c r="K23" s="77">
        <v>0.42</v>
      </c>
    </row>
    <row r="24" spans="10:11" ht="13.5">
      <c r="J24" s="77">
        <v>900000</v>
      </c>
      <c r="K24" s="77">
        <v>0.42</v>
      </c>
    </row>
    <row r="25" spans="10:11" ht="13.5">
      <c r="J25" s="77">
        <v>950000</v>
      </c>
      <c r="K25" s="77">
        <v>0.42</v>
      </c>
    </row>
    <row r="26" spans="10:11" ht="13.5">
      <c r="J26" s="77">
        <v>1000000</v>
      </c>
      <c r="K26" s="77">
        <v>0.42</v>
      </c>
    </row>
    <row r="27" spans="10:11" ht="13.5">
      <c r="J27" s="77">
        <v>1050000</v>
      </c>
      <c r="K27" s="77">
        <v>0.41</v>
      </c>
    </row>
    <row r="28" spans="10:11" ht="13.5">
      <c r="J28" s="77">
        <v>1100000</v>
      </c>
      <c r="K28" s="77">
        <v>0.41</v>
      </c>
    </row>
    <row r="29" spans="10:11" ht="13.5">
      <c r="J29" s="77">
        <v>1150000</v>
      </c>
      <c r="K29" s="77">
        <v>0.41</v>
      </c>
    </row>
    <row r="30" spans="10:11" ht="13.5">
      <c r="J30" s="77">
        <v>1200000</v>
      </c>
      <c r="K30" s="77">
        <v>0.41</v>
      </c>
    </row>
    <row r="31" spans="10:11" ht="13.5">
      <c r="J31" s="77">
        <v>1250000</v>
      </c>
      <c r="K31" s="77">
        <v>0.41</v>
      </c>
    </row>
    <row r="32" spans="10:11" ht="13.5">
      <c r="J32" s="77">
        <v>1300000</v>
      </c>
      <c r="K32" s="77">
        <v>0.4</v>
      </c>
    </row>
    <row r="33" spans="10:11" ht="13.5">
      <c r="J33" s="77">
        <v>1350000</v>
      </c>
      <c r="K33" s="77">
        <v>0.4</v>
      </c>
    </row>
    <row r="34" spans="10:11" ht="13.5">
      <c r="J34" s="77">
        <v>1400000</v>
      </c>
      <c r="K34" s="77">
        <v>0.4</v>
      </c>
    </row>
    <row r="35" spans="10:11" ht="13.5">
      <c r="J35" s="77">
        <v>1450000</v>
      </c>
      <c r="K35" s="77">
        <v>0.4</v>
      </c>
    </row>
    <row r="36" spans="10:11" ht="13.5">
      <c r="J36" s="77">
        <v>1500000</v>
      </c>
      <c r="K36" s="77">
        <v>0.4</v>
      </c>
    </row>
    <row r="37" spans="10:11" ht="13.5">
      <c r="J37" s="77">
        <v>1550000</v>
      </c>
      <c r="K37" s="77">
        <v>0.39</v>
      </c>
    </row>
    <row r="38" spans="10:11" ht="13.5">
      <c r="J38" s="77">
        <v>1600000</v>
      </c>
      <c r="K38" s="77">
        <v>0.39</v>
      </c>
    </row>
    <row r="39" spans="10:11" ht="13.5">
      <c r="J39" s="77">
        <v>1650000</v>
      </c>
      <c r="K39" s="77">
        <v>0.39</v>
      </c>
    </row>
    <row r="40" spans="10:11" ht="13.5">
      <c r="J40" s="77">
        <v>1700000</v>
      </c>
      <c r="K40" s="77">
        <v>0.39</v>
      </c>
    </row>
    <row r="41" spans="10:11" ht="13.5">
      <c r="J41" s="77">
        <v>1750000</v>
      </c>
      <c r="K41" s="77">
        <v>0.39</v>
      </c>
    </row>
    <row r="42" spans="10:11" ht="13.5">
      <c r="J42" s="77">
        <v>1800000</v>
      </c>
      <c r="K42" s="77">
        <v>0.39</v>
      </c>
    </row>
    <row r="43" spans="10:11" ht="13.5">
      <c r="J43" s="77">
        <v>1850000</v>
      </c>
      <c r="K43" s="77">
        <v>0.39</v>
      </c>
    </row>
    <row r="44" spans="10:11" ht="13.5">
      <c r="J44" s="77">
        <v>1900000</v>
      </c>
      <c r="K44" s="77">
        <v>0.39</v>
      </c>
    </row>
    <row r="45" spans="10:11" ht="13.5">
      <c r="J45" s="77">
        <v>1950000</v>
      </c>
      <c r="K45" s="77">
        <v>0.39</v>
      </c>
    </row>
    <row r="46" spans="10:11" ht="13.5">
      <c r="J46" s="77">
        <v>2000000</v>
      </c>
      <c r="K46" s="77">
        <v>0.39</v>
      </c>
    </row>
    <row r="47" spans="10:11" ht="13.5">
      <c r="J47" s="77">
        <v>2050000</v>
      </c>
      <c r="K47" s="77">
        <v>0.39</v>
      </c>
    </row>
    <row r="48" spans="10:11" ht="13.5">
      <c r="J48" s="77">
        <v>2100000</v>
      </c>
      <c r="K48" s="77">
        <v>0.39</v>
      </c>
    </row>
    <row r="49" spans="10:11" ht="13.5">
      <c r="J49" s="77">
        <v>2150000</v>
      </c>
      <c r="K49" s="77">
        <v>0.39</v>
      </c>
    </row>
    <row r="50" spans="10:11" ht="13.5">
      <c r="J50" s="77">
        <v>2200000</v>
      </c>
      <c r="K50" s="77">
        <v>0.39</v>
      </c>
    </row>
    <row r="51" spans="10:11" ht="13.5">
      <c r="J51" s="77">
        <v>2250000</v>
      </c>
      <c r="K51" s="77">
        <v>0.39</v>
      </c>
    </row>
    <row r="52" spans="10:11" ht="13.5">
      <c r="J52" s="77">
        <v>2300000</v>
      </c>
      <c r="K52" s="77">
        <v>0.39</v>
      </c>
    </row>
    <row r="53" spans="10:11" ht="13.5">
      <c r="J53" s="77">
        <v>2350000</v>
      </c>
      <c r="K53" s="77">
        <v>0.39</v>
      </c>
    </row>
    <row r="54" spans="10:11" ht="13.5">
      <c r="J54" s="77">
        <v>2400000</v>
      </c>
      <c r="K54" s="77">
        <v>0.39</v>
      </c>
    </row>
    <row r="55" spans="10:11" ht="13.5">
      <c r="J55" s="77">
        <v>2450000</v>
      </c>
      <c r="K55" s="77">
        <v>0.39</v>
      </c>
    </row>
    <row r="56" spans="10:11" ht="13.5">
      <c r="J56" s="77">
        <v>2500000</v>
      </c>
      <c r="K56" s="77">
        <v>0.39</v>
      </c>
    </row>
    <row r="57" spans="10:11" ht="13.5">
      <c r="J57" s="77">
        <v>2550000</v>
      </c>
      <c r="K57" s="77">
        <v>0.38</v>
      </c>
    </row>
    <row r="58" spans="10:11" ht="13.5">
      <c r="J58" s="77">
        <v>2600000</v>
      </c>
      <c r="K58" s="77">
        <v>0.38</v>
      </c>
    </row>
    <row r="59" spans="10:11" ht="13.5">
      <c r="J59" s="77">
        <v>2650000</v>
      </c>
      <c r="K59" s="77">
        <v>0.38</v>
      </c>
    </row>
    <row r="60" spans="10:11" ht="13.5">
      <c r="J60" s="77">
        <v>2700000</v>
      </c>
      <c r="K60" s="77">
        <v>0.38</v>
      </c>
    </row>
    <row r="61" spans="10:11" ht="13.5">
      <c r="J61" s="77">
        <v>2750000</v>
      </c>
      <c r="K61" s="77">
        <v>0.38</v>
      </c>
    </row>
    <row r="62" spans="10:11" ht="13.5">
      <c r="J62" s="77">
        <v>2800000</v>
      </c>
      <c r="K62" s="77">
        <v>0.38</v>
      </c>
    </row>
    <row r="63" spans="10:11" ht="13.5">
      <c r="J63" s="77">
        <v>2850000</v>
      </c>
      <c r="K63" s="77">
        <v>0.38</v>
      </c>
    </row>
    <row r="64" spans="10:11" ht="13.5">
      <c r="J64" s="77">
        <v>2900000</v>
      </c>
      <c r="K64" s="77">
        <v>0.38</v>
      </c>
    </row>
    <row r="65" spans="10:11" ht="13.5">
      <c r="J65" s="77">
        <v>2950000</v>
      </c>
      <c r="K65" s="77">
        <v>0.38</v>
      </c>
    </row>
    <row r="66" spans="10:11" ht="13.5">
      <c r="J66" s="77">
        <v>3000000</v>
      </c>
      <c r="K66" s="77">
        <v>0.38</v>
      </c>
    </row>
    <row r="67" spans="10:11" ht="13.5">
      <c r="J67" s="77">
        <v>3050000</v>
      </c>
      <c r="K67" s="77">
        <v>0.38</v>
      </c>
    </row>
    <row r="68" spans="10:11" ht="13.5">
      <c r="J68" s="77">
        <v>3100000</v>
      </c>
      <c r="K68" s="77">
        <v>0.38</v>
      </c>
    </row>
    <row r="69" spans="10:11" ht="13.5">
      <c r="J69" s="77">
        <v>3150000</v>
      </c>
      <c r="K69" s="77">
        <v>0.38</v>
      </c>
    </row>
    <row r="70" spans="10:11" ht="13.5">
      <c r="J70" s="77">
        <v>3200000</v>
      </c>
      <c r="K70" s="77">
        <v>0.38</v>
      </c>
    </row>
    <row r="71" spans="10:11" ht="13.5">
      <c r="J71" s="77">
        <v>3250000</v>
      </c>
      <c r="K71" s="77">
        <v>0.38</v>
      </c>
    </row>
    <row r="72" spans="10:11" ht="13.5">
      <c r="J72" s="77">
        <v>3300000</v>
      </c>
      <c r="K72" s="77">
        <v>0.38</v>
      </c>
    </row>
    <row r="73" spans="10:11" ht="13.5">
      <c r="J73" s="77">
        <v>3350000</v>
      </c>
      <c r="K73" s="77">
        <v>0.38</v>
      </c>
    </row>
    <row r="74" spans="10:11" ht="13.5">
      <c r="J74" s="77">
        <v>3400000</v>
      </c>
      <c r="K74" s="77">
        <v>0.38</v>
      </c>
    </row>
    <row r="75" spans="10:11" ht="13.5">
      <c r="J75" s="77">
        <v>3450000</v>
      </c>
      <c r="K75" s="77">
        <v>0.38</v>
      </c>
    </row>
    <row r="76" spans="10:11" ht="13.5">
      <c r="J76" s="77">
        <v>3500000</v>
      </c>
      <c r="K76" s="77">
        <v>0.38</v>
      </c>
    </row>
    <row r="77" spans="10:11" ht="13.5">
      <c r="J77" s="77">
        <v>3550000</v>
      </c>
      <c r="K77" s="77">
        <v>0.38</v>
      </c>
    </row>
    <row r="78" spans="10:11" ht="13.5">
      <c r="J78" s="77">
        <v>3600000</v>
      </c>
      <c r="K78" s="77">
        <v>0.38</v>
      </c>
    </row>
    <row r="79" spans="10:11" ht="13.5">
      <c r="J79" s="77">
        <v>3650000</v>
      </c>
      <c r="K79" s="77">
        <v>0.38</v>
      </c>
    </row>
    <row r="80" spans="10:11" ht="13.5">
      <c r="J80" s="77">
        <v>3700000</v>
      </c>
      <c r="K80" s="77">
        <v>0.38</v>
      </c>
    </row>
    <row r="81" spans="10:11" ht="13.5">
      <c r="J81" s="77">
        <v>3750000</v>
      </c>
      <c r="K81" s="77">
        <v>0.38</v>
      </c>
    </row>
    <row r="82" spans="10:11" ht="13.5">
      <c r="J82" s="77">
        <v>3800000</v>
      </c>
      <c r="K82" s="77">
        <v>0.38</v>
      </c>
    </row>
    <row r="83" spans="10:11" ht="13.5">
      <c r="J83" s="77">
        <v>3850000</v>
      </c>
      <c r="K83" s="77">
        <v>0.38</v>
      </c>
    </row>
    <row r="84" spans="10:11" ht="13.5">
      <c r="J84" s="77">
        <v>3900000</v>
      </c>
      <c r="K84" s="77">
        <v>0.38</v>
      </c>
    </row>
    <row r="85" spans="10:11" ht="13.5">
      <c r="J85" s="77">
        <v>3950000</v>
      </c>
      <c r="K85" s="77">
        <v>0.38</v>
      </c>
    </row>
    <row r="86" spans="10:11" ht="13.5">
      <c r="J86" s="77">
        <v>4000000</v>
      </c>
      <c r="K86" s="77">
        <v>0.38</v>
      </c>
    </row>
    <row r="87" spans="10:11" ht="13.5">
      <c r="J87" s="77">
        <v>4050000</v>
      </c>
      <c r="K87" s="77">
        <v>0.38</v>
      </c>
    </row>
    <row r="88" spans="10:11" ht="13.5">
      <c r="J88" s="77">
        <v>4100000</v>
      </c>
      <c r="K88" s="77">
        <v>0.38</v>
      </c>
    </row>
    <row r="89" spans="10:11" ht="13.5">
      <c r="J89" s="77">
        <v>4150000</v>
      </c>
      <c r="K89" s="77">
        <v>0.38</v>
      </c>
    </row>
    <row r="90" spans="10:11" ht="13.5">
      <c r="J90" s="77">
        <v>4200000</v>
      </c>
      <c r="K90" s="77">
        <v>0.38</v>
      </c>
    </row>
    <row r="91" spans="10:11" ht="13.5">
      <c r="J91" s="77">
        <v>4250000</v>
      </c>
      <c r="K91" s="77">
        <v>0.38</v>
      </c>
    </row>
    <row r="92" spans="10:11" ht="13.5">
      <c r="J92" s="77">
        <v>4300000</v>
      </c>
      <c r="K92" s="77">
        <v>0.38</v>
      </c>
    </row>
    <row r="93" spans="10:11" ht="13.5">
      <c r="J93" s="77">
        <v>4350000</v>
      </c>
      <c r="K93" s="77">
        <v>0.38</v>
      </c>
    </row>
    <row r="94" spans="10:11" ht="13.5">
      <c r="J94" s="77">
        <v>4400000</v>
      </c>
      <c r="K94" s="77">
        <v>0.38</v>
      </c>
    </row>
    <row r="95" spans="10:11" ht="13.5">
      <c r="J95" s="77">
        <v>4450000</v>
      </c>
      <c r="K95" s="77">
        <v>0.38</v>
      </c>
    </row>
    <row r="96" spans="10:11" ht="13.5">
      <c r="J96" s="77">
        <v>4500000</v>
      </c>
      <c r="K96" s="77">
        <v>0.38</v>
      </c>
    </row>
    <row r="97" spans="10:11" ht="13.5">
      <c r="J97" s="77">
        <v>4550000</v>
      </c>
      <c r="K97" s="77">
        <v>0.38</v>
      </c>
    </row>
    <row r="98" spans="10:11" ht="13.5">
      <c r="J98" s="77">
        <v>4600000</v>
      </c>
      <c r="K98" s="77">
        <v>0.38</v>
      </c>
    </row>
    <row r="99" spans="10:11" ht="13.5">
      <c r="J99" s="77">
        <v>4650000</v>
      </c>
      <c r="K99" s="77">
        <v>0.38</v>
      </c>
    </row>
    <row r="100" spans="10:11" ht="13.5">
      <c r="J100" s="77">
        <v>4700000</v>
      </c>
      <c r="K100" s="77">
        <v>0.38</v>
      </c>
    </row>
    <row r="101" spans="10:11" ht="13.5">
      <c r="J101" s="77">
        <v>4750000</v>
      </c>
      <c r="K101" s="77">
        <v>0.38</v>
      </c>
    </row>
    <row r="102" spans="10:11" ht="13.5">
      <c r="J102" s="77">
        <v>4800000</v>
      </c>
      <c r="K102" s="77">
        <v>0.38</v>
      </c>
    </row>
    <row r="103" spans="10:11" ht="13.5">
      <c r="J103" s="77">
        <v>4850000</v>
      </c>
      <c r="K103" s="77">
        <v>0.38</v>
      </c>
    </row>
    <row r="104" spans="10:11" ht="13.5">
      <c r="J104" s="77">
        <v>4900000</v>
      </c>
      <c r="K104" s="77">
        <v>0.38</v>
      </c>
    </row>
    <row r="105" spans="10:11" ht="13.5">
      <c r="J105" s="77">
        <v>4950000</v>
      </c>
      <c r="K105" s="77">
        <v>0.38</v>
      </c>
    </row>
    <row r="106" spans="10:11" ht="13.5">
      <c r="J106" s="77">
        <v>5000000</v>
      </c>
      <c r="K106" s="77">
        <v>0.38</v>
      </c>
    </row>
    <row r="107" spans="10:11" ht="13.5">
      <c r="J107" s="77">
        <v>5050000</v>
      </c>
      <c r="K107" s="77">
        <v>0.37</v>
      </c>
    </row>
    <row r="108" spans="10:11" ht="13.5">
      <c r="J108" s="77">
        <v>5100000</v>
      </c>
      <c r="K108" s="77">
        <v>0.37</v>
      </c>
    </row>
    <row r="109" spans="10:11" ht="13.5">
      <c r="J109" s="77">
        <v>5150000</v>
      </c>
      <c r="K109" s="77">
        <v>0.37</v>
      </c>
    </row>
    <row r="110" spans="10:11" ht="13.5">
      <c r="J110" s="77">
        <v>5200000</v>
      </c>
      <c r="K110" s="77">
        <v>0.37</v>
      </c>
    </row>
    <row r="111" spans="10:11" ht="13.5">
      <c r="J111" s="77">
        <v>5250000</v>
      </c>
      <c r="K111" s="77">
        <v>0.37</v>
      </c>
    </row>
    <row r="112" spans="10:11" ht="13.5">
      <c r="J112" s="77">
        <v>5300000</v>
      </c>
      <c r="K112" s="77">
        <v>0.37</v>
      </c>
    </row>
    <row r="113" spans="10:11" ht="13.5">
      <c r="J113" s="77">
        <v>5350000</v>
      </c>
      <c r="K113" s="77">
        <v>0.37</v>
      </c>
    </row>
    <row r="114" spans="10:11" ht="13.5">
      <c r="J114" s="77">
        <v>5400000</v>
      </c>
      <c r="K114" s="77">
        <v>0.37</v>
      </c>
    </row>
    <row r="115" spans="10:11" ht="13.5">
      <c r="J115" s="77">
        <v>5450000</v>
      </c>
      <c r="K115" s="77">
        <v>0.37</v>
      </c>
    </row>
    <row r="116" spans="10:11" ht="13.5">
      <c r="J116" s="77">
        <v>5500000</v>
      </c>
      <c r="K116" s="77">
        <v>0.37</v>
      </c>
    </row>
    <row r="117" spans="10:11" ht="13.5">
      <c r="J117" s="77">
        <v>5550000</v>
      </c>
      <c r="K117" s="77">
        <v>0.37</v>
      </c>
    </row>
    <row r="118" spans="10:11" ht="13.5">
      <c r="J118" s="77">
        <v>5600000</v>
      </c>
      <c r="K118" s="77">
        <v>0.37</v>
      </c>
    </row>
    <row r="119" spans="10:11" ht="13.5">
      <c r="J119" s="77">
        <v>5650000</v>
      </c>
      <c r="K119" s="77">
        <v>0.37</v>
      </c>
    </row>
    <row r="120" spans="10:11" ht="13.5">
      <c r="J120" s="77">
        <v>5700000</v>
      </c>
      <c r="K120" s="77">
        <v>0.37</v>
      </c>
    </row>
    <row r="121" spans="10:11" ht="13.5">
      <c r="J121" s="77">
        <v>5750000</v>
      </c>
      <c r="K121" s="77">
        <v>0.37</v>
      </c>
    </row>
    <row r="122" spans="10:11" ht="13.5">
      <c r="J122" s="77">
        <v>5800000</v>
      </c>
      <c r="K122" s="77">
        <v>0.37</v>
      </c>
    </row>
    <row r="123" spans="10:11" ht="13.5">
      <c r="J123" s="77">
        <v>5850000</v>
      </c>
      <c r="K123" s="77">
        <v>0.37</v>
      </c>
    </row>
    <row r="124" spans="10:11" ht="13.5">
      <c r="J124" s="77">
        <v>5900000</v>
      </c>
      <c r="K124" s="77">
        <v>0.37</v>
      </c>
    </row>
    <row r="125" spans="10:11" ht="13.5">
      <c r="J125" s="77">
        <v>5950000</v>
      </c>
      <c r="K125" s="77">
        <v>0.37</v>
      </c>
    </row>
    <row r="126" spans="10:11" ht="13.5">
      <c r="J126" s="77">
        <v>6000000</v>
      </c>
      <c r="K126" s="77">
        <v>0.37</v>
      </c>
    </row>
    <row r="127" spans="10:11" ht="13.5">
      <c r="J127" s="77">
        <v>6050000</v>
      </c>
      <c r="K127" s="77">
        <v>0.37</v>
      </c>
    </row>
    <row r="128" spans="10:11" ht="13.5">
      <c r="J128" s="77">
        <v>6100000</v>
      </c>
      <c r="K128" s="77">
        <v>0.37</v>
      </c>
    </row>
    <row r="129" spans="10:11" ht="13.5">
      <c r="J129" s="77">
        <v>6150000</v>
      </c>
      <c r="K129" s="77">
        <v>0.37</v>
      </c>
    </row>
    <row r="130" spans="10:11" ht="13.5">
      <c r="J130" s="77">
        <v>6200000</v>
      </c>
      <c r="K130" s="77">
        <v>0.37</v>
      </c>
    </row>
    <row r="131" spans="10:11" ht="13.5">
      <c r="J131" s="77">
        <v>6250000</v>
      </c>
      <c r="K131" s="77">
        <v>0.37</v>
      </c>
    </row>
    <row r="132" spans="10:11" ht="13.5">
      <c r="J132" s="77">
        <v>6300000</v>
      </c>
      <c r="K132" s="77">
        <v>0.37</v>
      </c>
    </row>
    <row r="133" spans="10:11" ht="13.5">
      <c r="J133" s="77">
        <v>6350000</v>
      </c>
      <c r="K133" s="77">
        <v>0.37</v>
      </c>
    </row>
    <row r="134" spans="10:11" ht="13.5">
      <c r="J134" s="77">
        <v>6400000</v>
      </c>
      <c r="K134" s="77">
        <v>0.37</v>
      </c>
    </row>
    <row r="135" spans="10:11" ht="13.5">
      <c r="J135" s="77">
        <v>6450000</v>
      </c>
      <c r="K135" s="77">
        <v>0.37</v>
      </c>
    </row>
    <row r="136" spans="10:11" ht="13.5">
      <c r="J136" s="77">
        <v>6500000</v>
      </c>
      <c r="K136" s="77">
        <v>0.37</v>
      </c>
    </row>
    <row r="137" spans="10:11" ht="13.5">
      <c r="J137" s="77">
        <v>6550000</v>
      </c>
      <c r="K137" s="77">
        <v>0.37</v>
      </c>
    </row>
    <row r="138" spans="10:11" ht="13.5">
      <c r="J138" s="77">
        <v>6600000</v>
      </c>
      <c r="K138" s="77">
        <v>0.37</v>
      </c>
    </row>
    <row r="139" spans="10:11" ht="13.5">
      <c r="J139" s="77">
        <v>6650000</v>
      </c>
      <c r="K139" s="77">
        <v>0.37</v>
      </c>
    </row>
    <row r="140" spans="10:11" ht="13.5">
      <c r="J140" s="77">
        <v>6700000</v>
      </c>
      <c r="K140" s="77">
        <v>0.37</v>
      </c>
    </row>
    <row r="141" spans="10:11" ht="13.5">
      <c r="J141" s="77">
        <v>6750000</v>
      </c>
      <c r="K141" s="77">
        <v>0.37</v>
      </c>
    </row>
    <row r="142" spans="10:11" ht="13.5">
      <c r="J142" s="77">
        <v>6800000</v>
      </c>
      <c r="K142" s="77">
        <v>0.37</v>
      </c>
    </row>
    <row r="143" spans="10:11" ht="13.5">
      <c r="J143" s="77">
        <v>6850000</v>
      </c>
      <c r="K143" s="77">
        <v>0.37</v>
      </c>
    </row>
    <row r="144" spans="10:11" ht="13.5">
      <c r="J144" s="77">
        <v>6900000</v>
      </c>
      <c r="K144" s="77">
        <v>0.37</v>
      </c>
    </row>
    <row r="145" spans="10:11" ht="13.5">
      <c r="J145" s="77">
        <v>6950000</v>
      </c>
      <c r="K145" s="77">
        <v>0.37</v>
      </c>
    </row>
    <row r="146" spans="10:11" ht="13.5">
      <c r="J146" s="77">
        <v>7000000</v>
      </c>
      <c r="K146" s="77">
        <v>0.37</v>
      </c>
    </row>
    <row r="147" spans="10:11" ht="13.5">
      <c r="J147" s="77">
        <v>7050000</v>
      </c>
      <c r="K147" s="77">
        <v>0.36</v>
      </c>
    </row>
    <row r="148" spans="10:11" ht="13.5">
      <c r="J148" s="77">
        <v>7100000</v>
      </c>
      <c r="K148" s="77">
        <v>0.36</v>
      </c>
    </row>
    <row r="149" spans="10:11" ht="13.5">
      <c r="J149" s="77">
        <v>7150000</v>
      </c>
      <c r="K149" s="77">
        <v>0.36</v>
      </c>
    </row>
    <row r="150" spans="10:11" ht="13.5">
      <c r="J150" s="77">
        <v>7200000</v>
      </c>
      <c r="K150" s="77">
        <v>0.36</v>
      </c>
    </row>
    <row r="151" spans="10:11" ht="13.5">
      <c r="J151" s="77">
        <v>7250000</v>
      </c>
      <c r="K151" s="77">
        <v>0.36</v>
      </c>
    </row>
    <row r="152" spans="10:11" ht="13.5">
      <c r="J152" s="77">
        <v>7300000</v>
      </c>
      <c r="K152" s="77">
        <v>0.36</v>
      </c>
    </row>
    <row r="153" spans="10:11" ht="13.5">
      <c r="J153" s="77">
        <v>7350000</v>
      </c>
      <c r="K153" s="77">
        <v>0.36</v>
      </c>
    </row>
    <row r="154" spans="10:11" ht="13.5">
      <c r="J154" s="77">
        <v>7400000</v>
      </c>
      <c r="K154" s="77">
        <v>0.36</v>
      </c>
    </row>
    <row r="155" spans="10:11" ht="13.5">
      <c r="J155" s="77">
        <v>7450000</v>
      </c>
      <c r="K155" s="77">
        <v>0.36</v>
      </c>
    </row>
    <row r="156" spans="10:11" ht="13.5">
      <c r="J156" s="77">
        <v>7500000</v>
      </c>
      <c r="K156" s="77">
        <v>0.36</v>
      </c>
    </row>
    <row r="157" spans="10:11" ht="13.5">
      <c r="J157" s="77">
        <v>7550000</v>
      </c>
      <c r="K157" s="77">
        <v>0.36</v>
      </c>
    </row>
    <row r="158" spans="10:11" ht="13.5">
      <c r="J158" s="77">
        <v>7600000</v>
      </c>
      <c r="K158" s="77">
        <v>0.36</v>
      </c>
    </row>
    <row r="159" spans="10:11" ht="13.5">
      <c r="J159" s="77">
        <v>7650000</v>
      </c>
      <c r="K159" s="77">
        <v>0.36</v>
      </c>
    </row>
    <row r="160" spans="10:11" ht="13.5">
      <c r="J160" s="77">
        <v>7700000</v>
      </c>
      <c r="K160" s="77">
        <v>0.36</v>
      </c>
    </row>
    <row r="161" spans="10:11" ht="13.5">
      <c r="J161" s="77">
        <v>7750000</v>
      </c>
      <c r="K161" s="77">
        <v>0.36</v>
      </c>
    </row>
    <row r="162" spans="10:11" ht="13.5">
      <c r="J162" s="77">
        <v>7800000</v>
      </c>
      <c r="K162" s="77">
        <v>0.36</v>
      </c>
    </row>
    <row r="163" spans="10:11" ht="13.5">
      <c r="J163" s="77">
        <v>7850000</v>
      </c>
      <c r="K163" s="77">
        <v>0.36</v>
      </c>
    </row>
    <row r="164" spans="10:11" ht="13.5">
      <c r="J164" s="77">
        <v>7900000</v>
      </c>
      <c r="K164" s="77">
        <v>0.36</v>
      </c>
    </row>
    <row r="165" spans="10:11" ht="13.5">
      <c r="J165" s="77">
        <v>7950000</v>
      </c>
      <c r="K165" s="77">
        <v>0.36</v>
      </c>
    </row>
    <row r="166" spans="10:11" ht="13.5">
      <c r="J166" s="77">
        <v>8000000</v>
      </c>
      <c r="K166" s="77">
        <v>0.36</v>
      </c>
    </row>
    <row r="167" spans="10:11" ht="13.5">
      <c r="J167" s="77">
        <v>8050000</v>
      </c>
      <c r="K167" s="77">
        <v>0.36</v>
      </c>
    </row>
    <row r="168" spans="10:11" ht="13.5">
      <c r="J168" s="77">
        <v>8100000</v>
      </c>
      <c r="K168" s="77">
        <v>0.36</v>
      </c>
    </row>
    <row r="169" spans="10:11" ht="13.5">
      <c r="J169" s="77">
        <v>8150000</v>
      </c>
      <c r="K169" s="77">
        <v>0.36</v>
      </c>
    </row>
    <row r="170" spans="10:11" ht="13.5">
      <c r="J170" s="77">
        <v>8200000</v>
      </c>
      <c r="K170" s="77">
        <v>0.36</v>
      </c>
    </row>
    <row r="171" spans="10:11" ht="13.5">
      <c r="J171" s="77">
        <v>8250000</v>
      </c>
      <c r="K171" s="77">
        <v>0.36</v>
      </c>
    </row>
    <row r="172" spans="10:11" ht="13.5">
      <c r="J172" s="77">
        <v>8300000</v>
      </c>
      <c r="K172" s="77">
        <v>0.36</v>
      </c>
    </row>
    <row r="173" spans="10:11" ht="13.5">
      <c r="J173" s="77">
        <v>8350000</v>
      </c>
      <c r="K173" s="77">
        <v>0.36</v>
      </c>
    </row>
    <row r="174" spans="10:11" ht="13.5">
      <c r="J174" s="77">
        <v>8400000</v>
      </c>
      <c r="K174" s="77">
        <v>0.36</v>
      </c>
    </row>
    <row r="175" spans="10:11" ht="13.5">
      <c r="J175" s="77">
        <v>8450000</v>
      </c>
      <c r="K175" s="77">
        <v>0.36</v>
      </c>
    </row>
    <row r="176" spans="10:11" ht="13.5">
      <c r="J176" s="77">
        <v>8500000</v>
      </c>
      <c r="K176" s="77">
        <v>0.36</v>
      </c>
    </row>
    <row r="177" spans="10:11" ht="13.5">
      <c r="J177" s="77">
        <v>8550000</v>
      </c>
      <c r="K177" s="77">
        <v>0.35</v>
      </c>
    </row>
    <row r="178" spans="10:11" ht="13.5">
      <c r="J178" s="77">
        <v>8600000</v>
      </c>
      <c r="K178" s="77">
        <v>0.35</v>
      </c>
    </row>
    <row r="179" spans="10:11" ht="13.5">
      <c r="J179" s="77">
        <v>8650000</v>
      </c>
      <c r="K179" s="77">
        <v>0.35</v>
      </c>
    </row>
    <row r="180" spans="10:11" ht="13.5">
      <c r="J180" s="77">
        <v>8700000</v>
      </c>
      <c r="K180" s="77">
        <v>0.35</v>
      </c>
    </row>
    <row r="181" spans="10:11" ht="13.5">
      <c r="J181" s="77">
        <v>8750000</v>
      </c>
      <c r="K181" s="77">
        <v>0.35</v>
      </c>
    </row>
    <row r="182" spans="10:11" ht="13.5">
      <c r="J182" s="77">
        <v>8800000</v>
      </c>
      <c r="K182" s="77">
        <v>0.35</v>
      </c>
    </row>
    <row r="183" spans="10:11" ht="13.5">
      <c r="J183" s="77">
        <v>8850000</v>
      </c>
      <c r="K183" s="77">
        <v>0.35</v>
      </c>
    </row>
    <row r="184" spans="10:11" ht="13.5">
      <c r="J184" s="77">
        <v>8900000</v>
      </c>
      <c r="K184" s="77">
        <v>0.35</v>
      </c>
    </row>
    <row r="185" spans="10:11" ht="13.5">
      <c r="J185" s="77">
        <v>8950000</v>
      </c>
      <c r="K185" s="77">
        <v>0.35</v>
      </c>
    </row>
    <row r="186" spans="10:11" ht="13.5">
      <c r="J186" s="77">
        <v>9000000</v>
      </c>
      <c r="K186" s="77">
        <v>0.35</v>
      </c>
    </row>
    <row r="187" spans="10:11" ht="13.5">
      <c r="J187" s="77">
        <v>9050000</v>
      </c>
      <c r="K187" s="77">
        <v>0.35</v>
      </c>
    </row>
    <row r="188" spans="10:11" ht="13.5">
      <c r="J188" s="77">
        <v>9100000</v>
      </c>
      <c r="K188" s="77">
        <v>0.35</v>
      </c>
    </row>
    <row r="189" spans="10:11" ht="13.5">
      <c r="J189" s="77">
        <v>9150000</v>
      </c>
      <c r="K189" s="77">
        <v>0.35</v>
      </c>
    </row>
    <row r="190" spans="10:11" ht="13.5">
      <c r="J190" s="77">
        <v>9200000</v>
      </c>
      <c r="K190" s="77">
        <v>0.35</v>
      </c>
    </row>
    <row r="191" spans="10:11" ht="13.5">
      <c r="J191" s="77">
        <v>9250000</v>
      </c>
      <c r="K191" s="77">
        <v>0.35</v>
      </c>
    </row>
    <row r="192" spans="10:11" ht="13.5">
      <c r="J192" s="77">
        <v>9300000</v>
      </c>
      <c r="K192" s="77">
        <v>0.35</v>
      </c>
    </row>
    <row r="193" spans="10:11" ht="13.5">
      <c r="J193" s="77">
        <v>9350000</v>
      </c>
      <c r="K193" s="77">
        <v>0.35</v>
      </c>
    </row>
    <row r="194" spans="10:11" ht="13.5">
      <c r="J194" s="77">
        <v>9400000</v>
      </c>
      <c r="K194" s="77">
        <v>0.35</v>
      </c>
    </row>
    <row r="195" spans="10:11" ht="13.5">
      <c r="J195" s="77">
        <v>9450000</v>
      </c>
      <c r="K195" s="77">
        <v>0.35</v>
      </c>
    </row>
    <row r="196" spans="10:11" ht="13.5">
      <c r="J196" s="77">
        <v>9500000</v>
      </c>
      <c r="K196" s="77">
        <v>0.35</v>
      </c>
    </row>
    <row r="197" spans="10:11" ht="13.5">
      <c r="J197" s="77">
        <v>9550000</v>
      </c>
      <c r="K197" s="77">
        <v>0.35</v>
      </c>
    </row>
    <row r="198" spans="10:11" ht="13.5">
      <c r="J198" s="77">
        <v>9600000</v>
      </c>
      <c r="K198" s="77">
        <v>0.35</v>
      </c>
    </row>
    <row r="199" spans="10:11" ht="13.5">
      <c r="J199" s="77">
        <v>9650000</v>
      </c>
      <c r="K199" s="77">
        <v>0.35</v>
      </c>
    </row>
    <row r="200" spans="10:11" ht="13.5">
      <c r="J200" s="77">
        <v>9700000</v>
      </c>
      <c r="K200" s="77">
        <v>0.35</v>
      </c>
    </row>
    <row r="201" spans="10:11" ht="13.5">
      <c r="J201" s="77">
        <v>9750000</v>
      </c>
      <c r="K201" s="77">
        <v>0.35</v>
      </c>
    </row>
    <row r="202" spans="10:11" ht="13.5">
      <c r="J202" s="77">
        <v>9800000</v>
      </c>
      <c r="K202" s="77">
        <v>0.35</v>
      </c>
    </row>
    <row r="203" spans="10:11" ht="13.5">
      <c r="J203" s="77">
        <v>9850000</v>
      </c>
      <c r="K203" s="77">
        <v>0.35</v>
      </c>
    </row>
    <row r="204" spans="10:11" ht="13.5">
      <c r="J204" s="77">
        <v>9900000</v>
      </c>
      <c r="K204" s="77">
        <v>0.35</v>
      </c>
    </row>
    <row r="205" spans="10:11" ht="13.5">
      <c r="J205" s="77">
        <v>9950000</v>
      </c>
      <c r="K205" s="77">
        <v>0.35</v>
      </c>
    </row>
    <row r="206" spans="10:11" ht="13.5">
      <c r="J206" s="77">
        <v>10000000</v>
      </c>
      <c r="K206" s="77">
        <v>0.35</v>
      </c>
    </row>
    <row r="207" spans="10:11" ht="13.5">
      <c r="J207" s="77">
        <v>10050000</v>
      </c>
      <c r="K207" s="77">
        <v>0.35</v>
      </c>
    </row>
    <row r="208" spans="10:11" ht="13.5">
      <c r="J208" s="77">
        <v>10100000</v>
      </c>
      <c r="K208" s="77">
        <v>0.35</v>
      </c>
    </row>
    <row r="209" spans="10:11" ht="13.5">
      <c r="J209" s="77">
        <v>10150000</v>
      </c>
      <c r="K209" s="77">
        <v>0.35</v>
      </c>
    </row>
    <row r="210" spans="10:11" ht="13.5">
      <c r="J210" s="77">
        <v>10200000</v>
      </c>
      <c r="K210" s="77">
        <v>0.35</v>
      </c>
    </row>
    <row r="211" spans="10:11" ht="13.5">
      <c r="J211" s="77">
        <v>10250000</v>
      </c>
      <c r="K211" s="77">
        <v>0.35</v>
      </c>
    </row>
    <row r="212" spans="10:11" ht="13.5">
      <c r="J212" s="77">
        <v>10300000</v>
      </c>
      <c r="K212" s="77">
        <v>0.35</v>
      </c>
    </row>
    <row r="213" spans="10:11" ht="13.5">
      <c r="J213" s="77">
        <v>10350000</v>
      </c>
      <c r="K213" s="77">
        <v>0.35</v>
      </c>
    </row>
    <row r="214" spans="10:11" ht="13.5">
      <c r="J214" s="77">
        <v>10400000</v>
      </c>
      <c r="K214" s="77">
        <v>0.35</v>
      </c>
    </row>
    <row r="215" spans="10:11" ht="13.5">
      <c r="J215" s="77">
        <v>10450000</v>
      </c>
      <c r="K215" s="77">
        <v>0.35</v>
      </c>
    </row>
    <row r="216" spans="10:11" ht="13.5">
      <c r="J216" s="77">
        <v>10500000</v>
      </c>
      <c r="K216" s="77">
        <v>0.35</v>
      </c>
    </row>
    <row r="217" spans="10:11" ht="13.5">
      <c r="J217" s="77">
        <v>10550000</v>
      </c>
      <c r="K217" s="77">
        <v>0.35</v>
      </c>
    </row>
    <row r="218" spans="10:11" ht="13.5">
      <c r="J218" s="77">
        <v>10600000</v>
      </c>
      <c r="K218" s="77">
        <v>0.35</v>
      </c>
    </row>
    <row r="219" spans="10:11" ht="13.5">
      <c r="J219" s="77">
        <v>10650000</v>
      </c>
      <c r="K219" s="77">
        <v>0.35</v>
      </c>
    </row>
    <row r="220" spans="10:11" ht="13.5">
      <c r="J220" s="77">
        <v>10700000</v>
      </c>
      <c r="K220" s="77">
        <v>0.35</v>
      </c>
    </row>
    <row r="221" spans="10:11" ht="13.5">
      <c r="J221" s="77">
        <v>10750000</v>
      </c>
      <c r="K221" s="77">
        <v>0.35</v>
      </c>
    </row>
    <row r="222" spans="10:11" ht="13.5">
      <c r="J222" s="77">
        <v>10800000</v>
      </c>
      <c r="K222" s="77">
        <v>0.35</v>
      </c>
    </row>
    <row r="223" spans="10:11" ht="13.5">
      <c r="J223" s="77">
        <v>10850000</v>
      </c>
      <c r="K223" s="77">
        <v>0.35</v>
      </c>
    </row>
    <row r="224" spans="10:11" ht="13.5">
      <c r="J224" s="77">
        <v>10900000</v>
      </c>
      <c r="K224" s="77">
        <v>0.35</v>
      </c>
    </row>
    <row r="225" spans="10:11" ht="13.5">
      <c r="J225" s="77">
        <v>10950000</v>
      </c>
      <c r="K225" s="77">
        <v>0.35</v>
      </c>
    </row>
    <row r="226" spans="10:11" ht="13.5">
      <c r="J226" s="77">
        <v>11000000</v>
      </c>
      <c r="K226" s="77">
        <v>0.35</v>
      </c>
    </row>
    <row r="227" spans="10:11" ht="13.5">
      <c r="J227" s="77">
        <v>11050000</v>
      </c>
      <c r="K227" s="77">
        <v>0.35</v>
      </c>
    </row>
    <row r="228" spans="10:11" ht="13.5">
      <c r="J228" s="77">
        <v>11100000</v>
      </c>
      <c r="K228" s="77">
        <v>0.35</v>
      </c>
    </row>
    <row r="229" spans="10:11" ht="13.5">
      <c r="J229" s="77">
        <v>11150000</v>
      </c>
      <c r="K229" s="77">
        <v>0.35</v>
      </c>
    </row>
    <row r="230" spans="10:11" ht="13.5">
      <c r="J230" s="77">
        <v>11200000</v>
      </c>
      <c r="K230" s="77">
        <v>0.35</v>
      </c>
    </row>
    <row r="231" spans="10:11" ht="13.5">
      <c r="J231" s="77">
        <v>11250000</v>
      </c>
      <c r="K231" s="77">
        <v>0.35</v>
      </c>
    </row>
    <row r="232" spans="10:11" ht="13.5">
      <c r="J232" s="77">
        <v>11300000</v>
      </c>
      <c r="K232" s="77">
        <v>0.35</v>
      </c>
    </row>
    <row r="233" spans="10:11" ht="13.5">
      <c r="J233" s="77">
        <v>11350000</v>
      </c>
      <c r="K233" s="77">
        <v>0.35</v>
      </c>
    </row>
    <row r="234" spans="10:11" ht="13.5">
      <c r="J234" s="77">
        <v>11400000</v>
      </c>
      <c r="K234" s="77">
        <v>0.35</v>
      </c>
    </row>
    <row r="235" spans="10:11" ht="13.5">
      <c r="J235" s="77">
        <v>11450000</v>
      </c>
      <c r="K235" s="77">
        <v>0.35</v>
      </c>
    </row>
    <row r="236" spans="10:11" ht="13.5">
      <c r="J236" s="77">
        <v>11500000</v>
      </c>
      <c r="K236" s="77">
        <v>0.35</v>
      </c>
    </row>
    <row r="237" spans="10:11" ht="13.5">
      <c r="J237" s="77">
        <v>11550000</v>
      </c>
      <c r="K237" s="77">
        <v>0.35</v>
      </c>
    </row>
    <row r="238" spans="10:11" ht="13.5">
      <c r="J238" s="77">
        <v>11600000</v>
      </c>
      <c r="K238" s="77">
        <v>0.35</v>
      </c>
    </row>
    <row r="239" spans="10:11" ht="13.5">
      <c r="J239" s="77">
        <v>11650000</v>
      </c>
      <c r="K239" s="77">
        <v>0.35</v>
      </c>
    </row>
    <row r="240" spans="10:11" ht="13.5">
      <c r="J240" s="77">
        <v>11700000</v>
      </c>
      <c r="K240" s="77">
        <v>0.35</v>
      </c>
    </row>
    <row r="241" spans="10:11" ht="13.5">
      <c r="J241" s="77">
        <v>11750000</v>
      </c>
      <c r="K241" s="77">
        <v>0.35</v>
      </c>
    </row>
    <row r="242" spans="10:11" ht="13.5">
      <c r="J242" s="77">
        <v>11800000</v>
      </c>
      <c r="K242" s="77">
        <v>0.35</v>
      </c>
    </row>
    <row r="243" spans="10:11" ht="13.5">
      <c r="J243" s="77">
        <v>11850000</v>
      </c>
      <c r="K243" s="77">
        <v>0.35</v>
      </c>
    </row>
    <row r="244" spans="10:11" ht="13.5">
      <c r="J244" s="77">
        <v>11900000</v>
      </c>
      <c r="K244" s="77">
        <v>0.35</v>
      </c>
    </row>
    <row r="245" spans="10:11" ht="13.5">
      <c r="J245" s="77">
        <v>11950000</v>
      </c>
      <c r="K245" s="77">
        <v>0.35</v>
      </c>
    </row>
    <row r="246" spans="10:11" ht="13.5">
      <c r="J246" s="77">
        <v>12000000</v>
      </c>
      <c r="K246" s="77">
        <v>0.35</v>
      </c>
    </row>
    <row r="247" spans="10:11" ht="13.5">
      <c r="J247" s="77">
        <v>12050000</v>
      </c>
      <c r="K247" s="77">
        <v>0.35</v>
      </c>
    </row>
    <row r="248" spans="10:11" ht="13.5">
      <c r="J248" s="77">
        <v>12100000</v>
      </c>
      <c r="K248" s="77">
        <v>0.35</v>
      </c>
    </row>
    <row r="249" spans="10:11" ht="13.5">
      <c r="J249" s="77">
        <v>12150000</v>
      </c>
      <c r="K249" s="77">
        <v>0.35</v>
      </c>
    </row>
    <row r="250" spans="10:11" ht="13.5">
      <c r="J250" s="77">
        <v>12200000</v>
      </c>
      <c r="K250" s="77">
        <v>0.35</v>
      </c>
    </row>
    <row r="251" spans="10:11" ht="13.5">
      <c r="J251" s="77">
        <v>12250000</v>
      </c>
      <c r="K251" s="77">
        <v>0.35</v>
      </c>
    </row>
    <row r="252" spans="10:11" ht="13.5">
      <c r="J252" s="77">
        <v>12300000</v>
      </c>
      <c r="K252" s="77">
        <v>0.35</v>
      </c>
    </row>
    <row r="253" spans="10:11" ht="13.5">
      <c r="J253" s="77">
        <v>12350000</v>
      </c>
      <c r="K253" s="77">
        <v>0.35</v>
      </c>
    </row>
    <row r="254" spans="10:11" ht="13.5">
      <c r="J254" s="77">
        <v>12400000</v>
      </c>
      <c r="K254" s="77">
        <v>0.35</v>
      </c>
    </row>
    <row r="255" spans="10:11" ht="13.5">
      <c r="J255" s="77">
        <v>12450000</v>
      </c>
      <c r="K255" s="77">
        <v>0.35</v>
      </c>
    </row>
    <row r="256" spans="10:11" ht="13.5">
      <c r="J256" s="77">
        <v>12500000</v>
      </c>
      <c r="K256" s="77">
        <v>0.35</v>
      </c>
    </row>
    <row r="257" spans="10:11" ht="13.5">
      <c r="J257" s="77">
        <v>12550000</v>
      </c>
      <c r="K257" s="77">
        <v>0.35</v>
      </c>
    </row>
    <row r="258" spans="10:11" ht="13.5">
      <c r="J258" s="77">
        <v>12600000</v>
      </c>
      <c r="K258" s="77">
        <v>0.35</v>
      </c>
    </row>
    <row r="259" spans="10:11" ht="13.5">
      <c r="J259" s="77">
        <v>12650000</v>
      </c>
      <c r="K259" s="77">
        <v>0.35</v>
      </c>
    </row>
    <row r="260" spans="10:11" ht="13.5">
      <c r="J260" s="77">
        <v>12700000</v>
      </c>
      <c r="K260" s="77">
        <v>0.35</v>
      </c>
    </row>
    <row r="261" spans="10:11" ht="13.5">
      <c r="J261" s="77">
        <v>12750000</v>
      </c>
      <c r="K261" s="77">
        <v>0.35</v>
      </c>
    </row>
    <row r="262" spans="10:11" ht="13.5">
      <c r="J262" s="77">
        <v>12800000</v>
      </c>
      <c r="K262" s="77">
        <v>0.35</v>
      </c>
    </row>
    <row r="263" spans="10:11" ht="13.5">
      <c r="J263" s="77">
        <v>12850000</v>
      </c>
      <c r="K263" s="77">
        <v>0.35</v>
      </c>
    </row>
    <row r="264" spans="10:11" ht="13.5">
      <c r="J264" s="77">
        <v>12900000</v>
      </c>
      <c r="K264" s="77">
        <v>0.35</v>
      </c>
    </row>
    <row r="265" spans="10:11" ht="13.5">
      <c r="J265" s="77">
        <v>12950000</v>
      </c>
      <c r="K265" s="77">
        <v>0.35</v>
      </c>
    </row>
    <row r="266" spans="10:11" ht="13.5">
      <c r="J266" s="77">
        <v>13000000</v>
      </c>
      <c r="K266" s="77">
        <v>0.35</v>
      </c>
    </row>
    <row r="267" spans="10:11" ht="13.5">
      <c r="J267" s="77">
        <v>13050000</v>
      </c>
      <c r="K267" s="77">
        <v>0.35</v>
      </c>
    </row>
    <row r="268" spans="10:11" ht="13.5">
      <c r="J268" s="77">
        <v>13100000</v>
      </c>
      <c r="K268" s="77">
        <v>0.35</v>
      </c>
    </row>
    <row r="269" spans="10:11" ht="13.5">
      <c r="J269" s="77">
        <v>13150000</v>
      </c>
      <c r="K269" s="77">
        <v>0.35</v>
      </c>
    </row>
    <row r="270" spans="10:11" ht="13.5">
      <c r="J270" s="77">
        <v>13200000</v>
      </c>
      <c r="K270" s="77">
        <v>0.35</v>
      </c>
    </row>
    <row r="271" spans="10:11" ht="13.5">
      <c r="J271" s="77">
        <v>13250000</v>
      </c>
      <c r="K271" s="77">
        <v>0.35</v>
      </c>
    </row>
    <row r="272" spans="10:11" ht="13.5">
      <c r="J272" s="77">
        <v>13300000</v>
      </c>
      <c r="K272" s="77">
        <v>0.35</v>
      </c>
    </row>
    <row r="273" spans="10:11" ht="13.5">
      <c r="J273" s="77">
        <v>13350000</v>
      </c>
      <c r="K273" s="77">
        <v>0.35</v>
      </c>
    </row>
    <row r="274" spans="10:11" ht="13.5">
      <c r="J274" s="77">
        <v>13400000</v>
      </c>
      <c r="K274" s="77">
        <v>0.35</v>
      </c>
    </row>
    <row r="275" spans="10:11" ht="13.5">
      <c r="J275" s="77">
        <v>13450000</v>
      </c>
      <c r="K275" s="77">
        <v>0.35</v>
      </c>
    </row>
    <row r="276" spans="10:11" ht="13.5">
      <c r="J276" s="77">
        <v>13500000</v>
      </c>
      <c r="K276" s="77">
        <v>0.35</v>
      </c>
    </row>
    <row r="277" spans="10:11" ht="13.5">
      <c r="J277" s="77">
        <v>13550000</v>
      </c>
      <c r="K277" s="77">
        <v>0.34</v>
      </c>
    </row>
    <row r="278" spans="10:11" ht="13.5">
      <c r="J278" s="77">
        <v>13600000</v>
      </c>
      <c r="K278" s="77">
        <v>0.34</v>
      </c>
    </row>
    <row r="279" spans="10:11" ht="13.5">
      <c r="J279" s="77">
        <v>13650000</v>
      </c>
      <c r="K279" s="77">
        <v>0.34</v>
      </c>
    </row>
    <row r="280" spans="10:11" ht="13.5">
      <c r="J280" s="77">
        <v>13700000</v>
      </c>
      <c r="K280" s="77">
        <v>0.34</v>
      </c>
    </row>
    <row r="281" spans="10:11" ht="13.5">
      <c r="J281" s="77">
        <v>13750000</v>
      </c>
      <c r="K281" s="77">
        <v>0.34</v>
      </c>
    </row>
    <row r="282" spans="10:11" ht="13.5">
      <c r="J282" s="77">
        <v>13800000</v>
      </c>
      <c r="K282" s="77">
        <v>0.34</v>
      </c>
    </row>
    <row r="283" spans="10:11" ht="13.5">
      <c r="J283" s="77">
        <v>13850000</v>
      </c>
      <c r="K283" s="77">
        <v>0.34</v>
      </c>
    </row>
    <row r="284" spans="10:11" ht="13.5">
      <c r="J284" s="77">
        <v>13900000</v>
      </c>
      <c r="K284" s="77">
        <v>0.34</v>
      </c>
    </row>
    <row r="285" spans="10:11" ht="13.5">
      <c r="J285" s="77">
        <v>13950000</v>
      </c>
      <c r="K285" s="77">
        <v>0.34</v>
      </c>
    </row>
    <row r="286" spans="10:11" ht="13.5">
      <c r="J286" s="77">
        <v>14000000</v>
      </c>
      <c r="K286" s="77">
        <v>0.34</v>
      </c>
    </row>
    <row r="287" spans="10:11" ht="13.5">
      <c r="J287" s="77">
        <v>14050000</v>
      </c>
      <c r="K287" s="77">
        <v>0.34</v>
      </c>
    </row>
    <row r="288" spans="10:11" ht="13.5">
      <c r="J288" s="77">
        <v>14100000</v>
      </c>
      <c r="K288" s="77">
        <v>0.34</v>
      </c>
    </row>
    <row r="289" spans="10:11" ht="13.5">
      <c r="J289" s="77">
        <v>14150000</v>
      </c>
      <c r="K289" s="77">
        <v>0.34</v>
      </c>
    </row>
    <row r="290" spans="10:11" ht="13.5">
      <c r="J290" s="77">
        <v>14200000</v>
      </c>
      <c r="K290" s="77">
        <v>0.34</v>
      </c>
    </row>
    <row r="291" spans="10:11" ht="13.5">
      <c r="J291" s="77">
        <v>14250000</v>
      </c>
      <c r="K291" s="77">
        <v>0.34</v>
      </c>
    </row>
    <row r="292" spans="10:11" ht="13.5">
      <c r="J292" s="77">
        <v>14300000</v>
      </c>
      <c r="K292" s="77">
        <v>0.34</v>
      </c>
    </row>
    <row r="293" spans="10:11" ht="13.5">
      <c r="J293" s="77">
        <v>14350000</v>
      </c>
      <c r="K293" s="77">
        <v>0.34</v>
      </c>
    </row>
    <row r="294" spans="10:11" ht="13.5">
      <c r="J294" s="77">
        <v>14400000</v>
      </c>
      <c r="K294" s="77">
        <v>0.34</v>
      </c>
    </row>
    <row r="295" spans="10:11" ht="13.5">
      <c r="J295" s="77">
        <v>14450000</v>
      </c>
      <c r="K295" s="77">
        <v>0.34</v>
      </c>
    </row>
    <row r="296" spans="10:11" ht="13.5">
      <c r="J296" s="77">
        <v>14500000</v>
      </c>
      <c r="K296" s="77">
        <v>0.34</v>
      </c>
    </row>
    <row r="297" spans="10:11" ht="13.5">
      <c r="J297" s="77">
        <v>14550000</v>
      </c>
      <c r="K297" s="77">
        <v>0.34</v>
      </c>
    </row>
    <row r="298" spans="10:11" ht="13.5">
      <c r="J298" s="77">
        <v>14600000</v>
      </c>
      <c r="K298" s="77">
        <v>0.34</v>
      </c>
    </row>
    <row r="299" spans="10:11" ht="13.5">
      <c r="J299" s="77">
        <v>14650000</v>
      </c>
      <c r="K299" s="77">
        <v>0.34</v>
      </c>
    </row>
    <row r="300" spans="10:11" ht="13.5">
      <c r="J300" s="77">
        <v>14700000</v>
      </c>
      <c r="K300" s="77">
        <v>0.34</v>
      </c>
    </row>
    <row r="301" spans="10:11" ht="13.5">
      <c r="J301" s="77">
        <v>14750000</v>
      </c>
      <c r="K301" s="77">
        <v>0.34</v>
      </c>
    </row>
    <row r="302" spans="10:11" ht="13.5">
      <c r="J302" s="77">
        <v>14800000</v>
      </c>
      <c r="K302" s="77">
        <v>0.34</v>
      </c>
    </row>
    <row r="303" spans="10:11" ht="13.5">
      <c r="J303" s="77">
        <v>14850000</v>
      </c>
      <c r="K303" s="77">
        <v>0.34</v>
      </c>
    </row>
    <row r="304" spans="10:11" ht="13.5">
      <c r="J304" s="77">
        <v>14900000</v>
      </c>
      <c r="K304" s="77">
        <v>0.34</v>
      </c>
    </row>
    <row r="305" spans="10:11" ht="13.5">
      <c r="J305" s="77">
        <v>14950000</v>
      </c>
      <c r="K305" s="77">
        <v>0.34</v>
      </c>
    </row>
    <row r="306" spans="10:11" ht="13.5">
      <c r="J306" s="77">
        <v>15000000</v>
      </c>
      <c r="K306" s="77">
        <v>0.34</v>
      </c>
    </row>
    <row r="307" spans="10:11" ht="13.5">
      <c r="J307" s="77">
        <v>15050000</v>
      </c>
      <c r="K307" s="77">
        <v>0.34</v>
      </c>
    </row>
    <row r="308" spans="10:11" ht="13.5">
      <c r="J308" s="77">
        <v>15100000</v>
      </c>
      <c r="K308" s="77">
        <v>0.34</v>
      </c>
    </row>
    <row r="309" spans="10:11" ht="13.5">
      <c r="J309" s="77">
        <v>15150000</v>
      </c>
      <c r="K309" s="77">
        <v>0.34</v>
      </c>
    </row>
    <row r="310" spans="10:11" ht="13.5">
      <c r="J310" s="77">
        <v>15200000</v>
      </c>
      <c r="K310" s="77">
        <v>0.34</v>
      </c>
    </row>
    <row r="311" spans="10:11" ht="13.5">
      <c r="J311" s="77">
        <v>15250000</v>
      </c>
      <c r="K311" s="77">
        <v>0.34</v>
      </c>
    </row>
    <row r="312" spans="10:11" ht="13.5">
      <c r="J312" s="77">
        <v>15300000</v>
      </c>
      <c r="K312" s="77">
        <v>0.34</v>
      </c>
    </row>
    <row r="313" spans="10:11" ht="13.5">
      <c r="J313" s="77">
        <v>15350000</v>
      </c>
      <c r="K313" s="77">
        <v>0.34</v>
      </c>
    </row>
    <row r="314" spans="10:11" ht="13.5">
      <c r="J314" s="77">
        <v>15400000</v>
      </c>
      <c r="K314" s="77">
        <v>0.34</v>
      </c>
    </row>
    <row r="315" spans="10:11" ht="13.5">
      <c r="J315" s="77">
        <v>15450000</v>
      </c>
      <c r="K315" s="77">
        <v>0.34</v>
      </c>
    </row>
    <row r="316" spans="10:11" ht="13.5">
      <c r="J316" s="77">
        <v>15500000</v>
      </c>
      <c r="K316" s="77">
        <v>0.34</v>
      </c>
    </row>
    <row r="317" spans="10:11" ht="13.5">
      <c r="J317" s="77">
        <v>15550000</v>
      </c>
      <c r="K317" s="77">
        <v>0.34</v>
      </c>
    </row>
    <row r="318" spans="10:11" ht="13.5">
      <c r="J318" s="77">
        <v>15600000</v>
      </c>
      <c r="K318" s="77">
        <v>0.34</v>
      </c>
    </row>
    <row r="319" spans="10:11" ht="13.5">
      <c r="J319" s="77">
        <v>15650000</v>
      </c>
      <c r="K319" s="77">
        <v>0.34</v>
      </c>
    </row>
    <row r="320" spans="10:11" ht="13.5">
      <c r="J320" s="77">
        <v>15700000</v>
      </c>
      <c r="K320" s="77">
        <v>0.34</v>
      </c>
    </row>
    <row r="321" spans="10:11" ht="13.5">
      <c r="J321" s="77">
        <v>15750000</v>
      </c>
      <c r="K321" s="77">
        <v>0.34</v>
      </c>
    </row>
    <row r="322" spans="10:11" ht="13.5">
      <c r="J322" s="77">
        <v>15800000</v>
      </c>
      <c r="K322" s="77">
        <v>0.34</v>
      </c>
    </row>
    <row r="323" spans="10:11" ht="13.5">
      <c r="J323" s="77">
        <v>15850000</v>
      </c>
      <c r="K323" s="77">
        <v>0.34</v>
      </c>
    </row>
    <row r="324" spans="10:11" ht="13.5">
      <c r="J324" s="77">
        <v>15900000</v>
      </c>
      <c r="K324" s="77">
        <v>0.34</v>
      </c>
    </row>
    <row r="325" spans="10:11" ht="13.5">
      <c r="J325" s="77">
        <v>15950000</v>
      </c>
      <c r="K325" s="77">
        <v>0.34</v>
      </c>
    </row>
    <row r="326" spans="10:11" ht="13.5">
      <c r="J326" s="77">
        <v>16000000</v>
      </c>
      <c r="K326" s="77">
        <v>0.34</v>
      </c>
    </row>
    <row r="327" spans="10:11" ht="13.5">
      <c r="J327" s="77">
        <v>16050000</v>
      </c>
      <c r="K327" s="77">
        <v>0.34</v>
      </c>
    </row>
    <row r="328" spans="10:11" ht="13.5">
      <c r="J328" s="77">
        <v>16100000</v>
      </c>
      <c r="K328" s="77">
        <v>0.34</v>
      </c>
    </row>
    <row r="329" spans="10:11" ht="13.5">
      <c r="J329" s="77">
        <v>16150000</v>
      </c>
      <c r="K329" s="77">
        <v>0.34</v>
      </c>
    </row>
    <row r="330" spans="10:11" ht="13.5">
      <c r="J330" s="77">
        <v>16200000</v>
      </c>
      <c r="K330" s="77">
        <v>0.34</v>
      </c>
    </row>
    <row r="331" spans="10:11" ht="13.5">
      <c r="J331" s="77">
        <v>16250000</v>
      </c>
      <c r="K331" s="77">
        <v>0.34</v>
      </c>
    </row>
    <row r="332" spans="10:11" ht="13.5">
      <c r="J332" s="77">
        <v>16300000</v>
      </c>
      <c r="K332" s="77">
        <v>0.34</v>
      </c>
    </row>
    <row r="333" spans="10:11" ht="13.5">
      <c r="J333" s="77">
        <v>16350000</v>
      </c>
      <c r="K333" s="77">
        <v>0.34</v>
      </c>
    </row>
    <row r="334" spans="10:11" ht="13.5">
      <c r="J334" s="77">
        <v>16400000</v>
      </c>
      <c r="K334" s="77">
        <v>0.34</v>
      </c>
    </row>
    <row r="335" spans="10:11" ht="13.5">
      <c r="J335" s="77">
        <v>16450000</v>
      </c>
      <c r="K335" s="77">
        <v>0.34</v>
      </c>
    </row>
    <row r="336" spans="10:11" ht="13.5">
      <c r="J336" s="77">
        <v>16500000</v>
      </c>
      <c r="K336" s="77">
        <v>0.34</v>
      </c>
    </row>
    <row r="337" spans="10:11" ht="13.5">
      <c r="J337" s="77">
        <v>16550000</v>
      </c>
      <c r="K337" s="77">
        <v>0.34</v>
      </c>
    </row>
    <row r="338" spans="10:11" ht="13.5">
      <c r="J338" s="77">
        <v>16600000</v>
      </c>
      <c r="K338" s="77">
        <v>0.34</v>
      </c>
    </row>
    <row r="339" spans="10:11" ht="13.5">
      <c r="J339" s="77">
        <v>16650000</v>
      </c>
      <c r="K339" s="77">
        <v>0.34</v>
      </c>
    </row>
    <row r="340" spans="10:11" ht="13.5">
      <c r="J340" s="77">
        <v>16700000</v>
      </c>
      <c r="K340" s="77">
        <v>0.34</v>
      </c>
    </row>
    <row r="341" spans="10:11" ht="13.5">
      <c r="J341" s="77">
        <v>16750000</v>
      </c>
      <c r="K341" s="77">
        <v>0.34</v>
      </c>
    </row>
    <row r="342" spans="10:11" ht="13.5">
      <c r="J342" s="77">
        <v>16800000</v>
      </c>
      <c r="K342" s="77">
        <v>0.34</v>
      </c>
    </row>
    <row r="343" spans="10:11" ht="13.5">
      <c r="J343" s="77">
        <v>16850000</v>
      </c>
      <c r="K343" s="77">
        <v>0.34</v>
      </c>
    </row>
    <row r="344" spans="10:11" ht="13.5">
      <c r="J344" s="77">
        <v>16900000</v>
      </c>
      <c r="K344" s="77">
        <v>0.34</v>
      </c>
    </row>
    <row r="345" spans="10:11" ht="13.5">
      <c r="J345" s="77">
        <v>16950000</v>
      </c>
      <c r="K345" s="77">
        <v>0.34</v>
      </c>
    </row>
    <row r="346" spans="10:11" ht="13.5">
      <c r="J346" s="77">
        <v>17000000</v>
      </c>
      <c r="K346" s="77">
        <v>0.34</v>
      </c>
    </row>
    <row r="347" spans="10:11" ht="13.5">
      <c r="J347" s="77">
        <v>17050000</v>
      </c>
      <c r="K347" s="77">
        <v>0.34</v>
      </c>
    </row>
    <row r="348" spans="10:11" ht="13.5">
      <c r="J348" s="77">
        <v>17100000</v>
      </c>
      <c r="K348" s="77">
        <v>0.34</v>
      </c>
    </row>
    <row r="349" spans="10:11" ht="13.5">
      <c r="J349" s="77">
        <v>17150000</v>
      </c>
      <c r="K349" s="77">
        <v>0.34</v>
      </c>
    </row>
    <row r="350" spans="10:11" ht="13.5">
      <c r="J350" s="77">
        <v>17200000</v>
      </c>
      <c r="K350" s="77">
        <v>0.34</v>
      </c>
    </row>
    <row r="351" spans="10:11" ht="13.5">
      <c r="J351" s="77">
        <v>17250000</v>
      </c>
      <c r="K351" s="77">
        <v>0.34</v>
      </c>
    </row>
    <row r="352" spans="10:11" ht="13.5">
      <c r="J352" s="77">
        <v>17300000</v>
      </c>
      <c r="K352" s="77">
        <v>0.34</v>
      </c>
    </row>
    <row r="353" spans="10:11" ht="13.5">
      <c r="J353" s="77">
        <v>17350000</v>
      </c>
      <c r="K353" s="77">
        <v>0.34</v>
      </c>
    </row>
    <row r="354" spans="10:11" ht="13.5">
      <c r="J354" s="77">
        <v>17400000</v>
      </c>
      <c r="K354" s="77">
        <v>0.34</v>
      </c>
    </row>
    <row r="355" spans="10:11" ht="13.5">
      <c r="J355" s="77">
        <v>17450000</v>
      </c>
      <c r="K355" s="77">
        <v>0.34</v>
      </c>
    </row>
    <row r="356" spans="10:11" ht="13.5">
      <c r="J356" s="77">
        <v>17500000</v>
      </c>
      <c r="K356" s="77">
        <v>0.34</v>
      </c>
    </row>
    <row r="357" spans="10:11" ht="13.5">
      <c r="J357" s="77">
        <v>17550000</v>
      </c>
      <c r="K357" s="77">
        <v>0.34</v>
      </c>
    </row>
    <row r="358" spans="10:11" ht="13.5">
      <c r="J358" s="77">
        <v>17600000</v>
      </c>
      <c r="K358" s="77">
        <v>0.34</v>
      </c>
    </row>
    <row r="359" spans="10:11" ht="13.5">
      <c r="J359" s="77">
        <v>17650000</v>
      </c>
      <c r="K359" s="77">
        <v>0.34</v>
      </c>
    </row>
    <row r="360" spans="10:11" ht="13.5">
      <c r="J360" s="77">
        <v>17700000</v>
      </c>
      <c r="K360" s="77">
        <v>0.34</v>
      </c>
    </row>
    <row r="361" spans="10:11" ht="13.5">
      <c r="J361" s="77">
        <v>17750000</v>
      </c>
      <c r="K361" s="77">
        <v>0.34</v>
      </c>
    </row>
    <row r="362" spans="10:11" ht="13.5">
      <c r="J362" s="77">
        <v>17800000</v>
      </c>
      <c r="K362" s="77">
        <v>0.34</v>
      </c>
    </row>
    <row r="363" spans="10:11" ht="13.5">
      <c r="J363" s="77">
        <v>17850000</v>
      </c>
      <c r="K363" s="77">
        <v>0.34</v>
      </c>
    </row>
    <row r="364" spans="10:11" ht="13.5">
      <c r="J364" s="77">
        <v>17900000</v>
      </c>
      <c r="K364" s="77">
        <v>0.34</v>
      </c>
    </row>
    <row r="365" spans="10:11" ht="13.5">
      <c r="J365" s="77">
        <v>17950000</v>
      </c>
      <c r="K365" s="77">
        <v>0.34</v>
      </c>
    </row>
    <row r="366" spans="10:11" ht="13.5">
      <c r="J366" s="77">
        <v>18000000</v>
      </c>
      <c r="K366" s="77">
        <v>0.34</v>
      </c>
    </row>
    <row r="367" spans="10:11" ht="13.5">
      <c r="J367" s="77">
        <v>18050000</v>
      </c>
      <c r="K367" s="77">
        <v>0.34</v>
      </c>
    </row>
    <row r="368" spans="10:11" ht="13.5">
      <c r="J368" s="77">
        <v>18100000</v>
      </c>
      <c r="K368" s="77">
        <v>0.34</v>
      </c>
    </row>
    <row r="369" spans="10:11" ht="13.5">
      <c r="J369" s="77">
        <v>18150000</v>
      </c>
      <c r="K369" s="77">
        <v>0.34</v>
      </c>
    </row>
    <row r="370" spans="10:11" ht="13.5">
      <c r="J370" s="77">
        <v>18200000</v>
      </c>
      <c r="K370" s="77">
        <v>0.34</v>
      </c>
    </row>
    <row r="371" spans="10:11" ht="13.5">
      <c r="J371" s="77">
        <v>18250000</v>
      </c>
      <c r="K371" s="77">
        <v>0.34</v>
      </c>
    </row>
    <row r="372" spans="10:11" ht="13.5">
      <c r="J372" s="77">
        <v>18300000</v>
      </c>
      <c r="K372" s="77">
        <v>0.34</v>
      </c>
    </row>
    <row r="373" spans="10:11" ht="13.5">
      <c r="J373" s="77">
        <v>18350000</v>
      </c>
      <c r="K373" s="77">
        <v>0.34</v>
      </c>
    </row>
    <row r="374" spans="10:11" ht="13.5">
      <c r="J374" s="77">
        <v>18400000</v>
      </c>
      <c r="K374" s="77">
        <v>0.34</v>
      </c>
    </row>
    <row r="375" spans="10:11" ht="13.5">
      <c r="J375" s="77">
        <v>18450000</v>
      </c>
      <c r="K375" s="77">
        <v>0.34</v>
      </c>
    </row>
    <row r="376" spans="10:11" ht="13.5">
      <c r="J376" s="77">
        <v>18500000</v>
      </c>
      <c r="K376" s="77">
        <v>0.34</v>
      </c>
    </row>
    <row r="377" spans="10:11" ht="13.5">
      <c r="J377" s="77">
        <v>18550000</v>
      </c>
      <c r="K377" s="77">
        <v>0.34</v>
      </c>
    </row>
    <row r="378" spans="10:11" ht="13.5">
      <c r="J378" s="77">
        <v>18600000</v>
      </c>
      <c r="K378" s="77">
        <v>0.34</v>
      </c>
    </row>
    <row r="379" spans="10:11" ht="13.5">
      <c r="J379" s="77">
        <v>18650000</v>
      </c>
      <c r="K379" s="77">
        <v>0.34</v>
      </c>
    </row>
    <row r="380" spans="10:11" ht="13.5">
      <c r="J380" s="77">
        <v>18700000</v>
      </c>
      <c r="K380" s="77">
        <v>0.34</v>
      </c>
    </row>
    <row r="381" spans="10:11" ht="13.5">
      <c r="J381" s="77">
        <v>18750000</v>
      </c>
      <c r="K381" s="77">
        <v>0.34</v>
      </c>
    </row>
    <row r="382" spans="10:11" ht="13.5">
      <c r="J382" s="77">
        <v>18800000</v>
      </c>
      <c r="K382" s="77">
        <v>0.34</v>
      </c>
    </row>
    <row r="383" spans="10:11" ht="13.5">
      <c r="J383" s="77">
        <v>18850000</v>
      </c>
      <c r="K383" s="77">
        <v>0.34</v>
      </c>
    </row>
    <row r="384" spans="10:11" ht="13.5">
      <c r="J384" s="77">
        <v>18900000</v>
      </c>
      <c r="K384" s="77">
        <v>0.34</v>
      </c>
    </row>
    <row r="385" spans="10:11" ht="13.5">
      <c r="J385" s="77">
        <v>18950000</v>
      </c>
      <c r="K385" s="77">
        <v>0.34</v>
      </c>
    </row>
    <row r="386" spans="10:11" ht="13.5">
      <c r="J386" s="77">
        <v>19000000</v>
      </c>
      <c r="K386" s="77">
        <v>0.34</v>
      </c>
    </row>
    <row r="387" spans="10:11" ht="13.5">
      <c r="J387" s="77">
        <v>19050000</v>
      </c>
      <c r="K387" s="77">
        <v>0.34</v>
      </c>
    </row>
    <row r="388" spans="10:11" ht="13.5">
      <c r="J388" s="77">
        <v>19100000</v>
      </c>
      <c r="K388" s="77">
        <v>0.34</v>
      </c>
    </row>
    <row r="389" spans="10:11" ht="13.5">
      <c r="J389" s="77">
        <v>19150000</v>
      </c>
      <c r="K389" s="77">
        <v>0.34</v>
      </c>
    </row>
    <row r="390" spans="10:11" ht="13.5">
      <c r="J390" s="77">
        <v>19200000</v>
      </c>
      <c r="K390" s="77">
        <v>0.34</v>
      </c>
    </row>
    <row r="391" spans="10:11" ht="13.5">
      <c r="J391" s="77">
        <v>19250000</v>
      </c>
      <c r="K391" s="77">
        <v>0.34</v>
      </c>
    </row>
    <row r="392" spans="10:11" ht="13.5">
      <c r="J392" s="77">
        <v>19300000</v>
      </c>
      <c r="K392" s="77">
        <v>0.34</v>
      </c>
    </row>
    <row r="393" spans="10:11" ht="13.5">
      <c r="J393" s="77">
        <v>19350000</v>
      </c>
      <c r="K393" s="77">
        <v>0.34</v>
      </c>
    </row>
    <row r="394" spans="10:11" ht="13.5">
      <c r="J394" s="77">
        <v>19400000</v>
      </c>
      <c r="K394" s="77">
        <v>0.34</v>
      </c>
    </row>
    <row r="395" spans="10:11" ht="13.5">
      <c r="J395" s="77">
        <v>19450000</v>
      </c>
      <c r="K395" s="77">
        <v>0.34</v>
      </c>
    </row>
    <row r="396" spans="10:11" ht="13.5">
      <c r="J396" s="77">
        <v>19500000</v>
      </c>
      <c r="K396" s="77">
        <v>0.34</v>
      </c>
    </row>
    <row r="397" spans="10:11" ht="13.5">
      <c r="J397" s="77">
        <v>19550000</v>
      </c>
      <c r="K397" s="77">
        <v>0.34</v>
      </c>
    </row>
    <row r="398" spans="10:11" ht="13.5">
      <c r="J398" s="77">
        <v>19600000</v>
      </c>
      <c r="K398" s="77">
        <v>0.34</v>
      </c>
    </row>
    <row r="399" spans="10:11" ht="13.5">
      <c r="J399" s="77">
        <v>19650000</v>
      </c>
      <c r="K399" s="77">
        <v>0.34</v>
      </c>
    </row>
    <row r="400" spans="10:11" ht="13.5">
      <c r="J400" s="77">
        <v>19700000</v>
      </c>
      <c r="K400" s="77">
        <v>0.34</v>
      </c>
    </row>
    <row r="401" spans="10:11" ht="13.5">
      <c r="J401" s="77">
        <v>19750000</v>
      </c>
      <c r="K401" s="77">
        <v>0.34</v>
      </c>
    </row>
    <row r="402" spans="10:11" ht="13.5">
      <c r="J402" s="77">
        <v>19800000</v>
      </c>
      <c r="K402" s="77">
        <v>0.34</v>
      </c>
    </row>
    <row r="403" spans="10:11" ht="13.5">
      <c r="J403" s="77">
        <v>19850000</v>
      </c>
      <c r="K403" s="77">
        <v>0.34</v>
      </c>
    </row>
    <row r="404" spans="10:11" ht="13.5">
      <c r="J404" s="77">
        <v>19900000</v>
      </c>
      <c r="K404" s="77">
        <v>0.34</v>
      </c>
    </row>
    <row r="405" spans="10:11" ht="13.5">
      <c r="J405" s="77">
        <v>19950000</v>
      </c>
      <c r="K405" s="77">
        <v>0.34</v>
      </c>
    </row>
    <row r="406" spans="10:11" ht="13.5">
      <c r="J406" s="77">
        <v>20000000</v>
      </c>
      <c r="K406" s="77">
        <v>0.34</v>
      </c>
    </row>
  </sheetData>
  <sheetProtection/>
  <mergeCells count="6">
    <mergeCell ref="B7:D7"/>
    <mergeCell ref="F7:H7"/>
    <mergeCell ref="E2:H2"/>
    <mergeCell ref="D3:H3"/>
    <mergeCell ref="D5:H5"/>
    <mergeCell ref="D4:H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5:E39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1.421875" style="0" bestFit="1" customWidth="1"/>
    <col min="2" max="2" width="5.00390625" style="0" bestFit="1" customWidth="1"/>
    <col min="4" max="4" width="1.421875" style="0" bestFit="1" customWidth="1"/>
    <col min="5" max="5" width="36.421875" style="0" bestFit="1" customWidth="1"/>
  </cols>
  <sheetData>
    <row r="5" spans="2:5" ht="15">
      <c r="B5" t="s">
        <v>144</v>
      </c>
      <c r="C5" s="42" t="s">
        <v>24</v>
      </c>
      <c r="D5" s="43">
        <v>2</v>
      </c>
      <c r="E5" s="44" t="str">
        <f>IF(D5="","",CHOOSE(D5,"自営業者","給与所得者","年金受給者","無職"))</f>
        <v>給与所得者</v>
      </c>
    </row>
    <row r="6" spans="2:5" ht="15">
      <c r="B6" t="s">
        <v>145</v>
      </c>
      <c r="C6" s="42" t="s">
        <v>26</v>
      </c>
      <c r="D6" s="1053">
        <v>5000000</v>
      </c>
      <c r="E6" s="1054"/>
    </row>
    <row r="7" spans="2:5" ht="15">
      <c r="B7" t="s">
        <v>127</v>
      </c>
      <c r="C7" s="45" t="s">
        <v>27</v>
      </c>
      <c r="D7" s="43">
        <v>3</v>
      </c>
      <c r="E7" s="44" t="str">
        <f>IF(D7="","",CHOOSE(D7,"自営業者","給与所得者","年金受給者","無職"))</f>
        <v>年金受給者</v>
      </c>
    </row>
    <row r="8" spans="2:5" ht="15">
      <c r="B8" t="s">
        <v>128</v>
      </c>
      <c r="C8" s="45" t="s">
        <v>28</v>
      </c>
      <c r="D8" s="1053">
        <v>0</v>
      </c>
      <c r="E8" s="1054"/>
    </row>
    <row r="9" spans="2:5" ht="15">
      <c r="B9" t="s">
        <v>141</v>
      </c>
      <c r="C9" s="44" t="s">
        <v>29</v>
      </c>
      <c r="D9" s="1053">
        <v>12</v>
      </c>
      <c r="E9" s="1054"/>
    </row>
    <row r="10" spans="1:5" ht="15">
      <c r="A10" s="79"/>
      <c r="B10" t="s">
        <v>143</v>
      </c>
      <c r="C10" s="46" t="s">
        <v>30</v>
      </c>
      <c r="D10" s="1055">
        <f>IF(OR(D5="",D6=""),"",IF(D5=1,D6*0.47,IF(D5=2,D6*0.34,IF(D5=3,D6/8*10*0.34,0))))</f>
        <v>1700000.0000000002</v>
      </c>
      <c r="E10" s="1056"/>
    </row>
    <row r="11" spans="2:5" ht="15">
      <c r="B11" t="s">
        <v>129</v>
      </c>
      <c r="C11" s="46" t="s">
        <v>32</v>
      </c>
      <c r="D11" s="1055">
        <f>IF(OR(D5="",D6=""),"",IF(D5=1,D6*0.52,IF(D5=2,D6*0.42,IF(D5=3,D6/8*10*0.42,0))))</f>
        <v>2100000</v>
      </c>
      <c r="E11" s="1056"/>
    </row>
    <row r="12" spans="2:5" ht="15">
      <c r="B12" t="s">
        <v>130</v>
      </c>
      <c r="C12" s="46" t="s">
        <v>33</v>
      </c>
      <c r="D12" s="1055">
        <f>IF(OR(D7="",D8=""),0,IF(D7=1,D8*0.47,IF(D7=2,D8*0.34,IF(D7=2,D8/8*10*0.34,0))))</f>
        <v>0</v>
      </c>
      <c r="E12" s="1056"/>
    </row>
    <row r="13" spans="2:5" ht="15">
      <c r="B13" t="s">
        <v>131</v>
      </c>
      <c r="C13" s="46" t="s">
        <v>34</v>
      </c>
      <c r="D13" s="1055">
        <f>IF(OR(D7="",D8=""),0,IF(D7=1,D8*0.52,IF(D7=2,D8*0.42,IF(D7=2,D8/8*10*0.42,0))))</f>
        <v>0</v>
      </c>
      <c r="E13" s="1056"/>
    </row>
    <row r="14" spans="2:5" ht="14.25">
      <c r="B14" t="s">
        <v>158</v>
      </c>
      <c r="C14" s="46" t="s">
        <v>35</v>
      </c>
      <c r="D14" s="1055">
        <f>IF(D9&lt;15,55/155,90/190)</f>
        <v>0.3548387096774194</v>
      </c>
      <c r="E14" s="1056"/>
    </row>
    <row r="15" spans="2:5" ht="14.25">
      <c r="B15" t="s">
        <v>132</v>
      </c>
      <c r="C15" s="46" t="s">
        <v>37</v>
      </c>
      <c r="D15" s="1055">
        <f>IF(D10="","",D10*D14)</f>
        <v>603225.806451613</v>
      </c>
      <c r="E15" s="1056"/>
    </row>
    <row r="16" spans="2:5" ht="14.25">
      <c r="B16" t="s">
        <v>133</v>
      </c>
      <c r="C16" s="46" t="s">
        <v>38</v>
      </c>
      <c r="D16" s="1055">
        <f>IF(D11="","",D11*D14)</f>
        <v>745161.2903225807</v>
      </c>
      <c r="E16" s="1056"/>
    </row>
    <row r="17" spans="2:5" ht="14.25">
      <c r="B17" t="s">
        <v>134</v>
      </c>
      <c r="C17" s="46" t="s">
        <v>39</v>
      </c>
      <c r="D17" s="1055">
        <f>INT(D15*(D10/(D10+D12)))</f>
        <v>603225</v>
      </c>
      <c r="E17" s="1056"/>
    </row>
    <row r="18" spans="2:5" ht="14.25">
      <c r="B18" t="s">
        <v>135</v>
      </c>
      <c r="C18" s="46" t="s">
        <v>40</v>
      </c>
      <c r="D18" s="1055">
        <f>INT(D16*(D11/(D11+D13)))</f>
        <v>745161</v>
      </c>
      <c r="E18" s="1056"/>
    </row>
    <row r="22" ht="13.5">
      <c r="C22" s="15" t="s">
        <v>138</v>
      </c>
    </row>
    <row r="23" ht="13.5">
      <c r="C23" t="s">
        <v>136</v>
      </c>
    </row>
    <row r="24" ht="13.5">
      <c r="C24" t="s">
        <v>140</v>
      </c>
    </row>
    <row r="25" ht="13.5">
      <c r="C25" t="s">
        <v>137</v>
      </c>
    </row>
    <row r="26" ht="13.5">
      <c r="C26" t="s">
        <v>139</v>
      </c>
    </row>
    <row r="27" ht="13.5">
      <c r="C27" t="s">
        <v>142</v>
      </c>
    </row>
    <row r="28" ht="13.5">
      <c r="C28" t="s">
        <v>146</v>
      </c>
    </row>
    <row r="29" ht="13.5">
      <c r="C29" t="s">
        <v>147</v>
      </c>
    </row>
    <row r="30" ht="13.5">
      <c r="C30" t="s">
        <v>148</v>
      </c>
    </row>
    <row r="31" ht="13.5">
      <c r="C31" t="s">
        <v>150</v>
      </c>
    </row>
    <row r="32" ht="13.5">
      <c r="C32" t="s">
        <v>151</v>
      </c>
    </row>
    <row r="33" ht="13.5">
      <c r="C33" t="s">
        <v>152</v>
      </c>
    </row>
    <row r="34" ht="13.5">
      <c r="C34" t="s">
        <v>153</v>
      </c>
    </row>
    <row r="35" ht="13.5">
      <c r="C35" t="s">
        <v>149</v>
      </c>
    </row>
    <row r="36" ht="13.5">
      <c r="C36" t="s">
        <v>154</v>
      </c>
    </row>
    <row r="37" ht="13.5">
      <c r="C37" t="s">
        <v>155</v>
      </c>
    </row>
    <row r="38" ht="13.5">
      <c r="C38" t="s">
        <v>156</v>
      </c>
    </row>
    <row r="39" ht="13.5">
      <c r="C39" t="s">
        <v>157</v>
      </c>
    </row>
  </sheetData>
  <sheetProtection/>
  <mergeCells count="12">
    <mergeCell ref="D13:E13"/>
    <mergeCell ref="D14:E14"/>
    <mergeCell ref="D15:E15"/>
    <mergeCell ref="D16:E16"/>
    <mergeCell ref="D17:E17"/>
    <mergeCell ref="D18:E18"/>
    <mergeCell ref="D6:E6"/>
    <mergeCell ref="D8:E8"/>
    <mergeCell ref="D9:E9"/>
    <mergeCell ref="D10:E10"/>
    <mergeCell ref="D11:E11"/>
    <mergeCell ref="D12:E1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52"/>
  <sheetViews>
    <sheetView workbookViewId="0" topLeftCell="A1">
      <selection activeCell="D3" sqref="D3"/>
    </sheetView>
  </sheetViews>
  <sheetFormatPr defaultColWidth="9.140625" defaultRowHeight="15"/>
  <cols>
    <col min="1" max="1" width="2.421875" style="293" bestFit="1" customWidth="1"/>
    <col min="2" max="2" width="3.421875" style="293" bestFit="1" customWidth="1"/>
    <col min="3" max="3" width="9.00390625" style="293" customWidth="1"/>
    <col min="4" max="5" width="15.57421875" style="293" customWidth="1"/>
    <col min="6" max="6" width="3.421875" style="293" bestFit="1" customWidth="1"/>
    <col min="7" max="7" width="9.00390625" style="293" customWidth="1"/>
    <col min="8" max="8" width="8.140625" style="293" customWidth="1"/>
    <col min="9" max="9" width="10.57421875" style="293" customWidth="1"/>
    <col min="10" max="10" width="8.140625" style="293" customWidth="1"/>
    <col min="11" max="11" width="5.57421875" style="293" customWidth="1"/>
    <col min="12" max="12" width="2.421875" style="293" bestFit="1" customWidth="1"/>
    <col min="13" max="16384" width="9.00390625" style="293" customWidth="1"/>
  </cols>
  <sheetData>
    <row r="1" spans="2:11" ht="14.25" thickBot="1">
      <c r="B1" s="445" t="s">
        <v>517</v>
      </c>
      <c r="C1" s="445"/>
      <c r="D1" s="445"/>
      <c r="E1" s="312"/>
      <c r="F1" s="312"/>
      <c r="G1" s="312"/>
      <c r="H1" s="317" t="s">
        <v>459</v>
      </c>
      <c r="I1" s="317"/>
      <c r="J1" s="317"/>
      <c r="K1" s="317"/>
    </row>
    <row r="2" spans="2:11" ht="19.5" customHeight="1" thickBot="1">
      <c r="B2" s="318" t="s">
        <v>460</v>
      </c>
      <c r="C2" s="319"/>
      <c r="D2" s="319"/>
      <c r="E2" s="320"/>
      <c r="F2" s="321" t="s">
        <v>461</v>
      </c>
      <c r="G2" s="322"/>
      <c r="H2" s="322"/>
      <c r="I2" s="322"/>
      <c r="J2" s="322"/>
      <c r="K2" s="323"/>
    </row>
    <row r="3" spans="2:11" ht="19.5" customHeight="1">
      <c r="B3" s="324" t="s">
        <v>115</v>
      </c>
      <c r="C3" s="325"/>
      <c r="D3" s="313"/>
      <c r="E3" s="294"/>
      <c r="F3" s="328" t="s">
        <v>115</v>
      </c>
      <c r="G3" s="329"/>
      <c r="H3" s="326"/>
      <c r="I3" s="327"/>
      <c r="J3" s="326"/>
      <c r="K3" s="331"/>
    </row>
    <row r="4" spans="2:11" ht="19.5" customHeight="1">
      <c r="B4" s="332" t="s">
        <v>116</v>
      </c>
      <c r="C4" s="333"/>
      <c r="D4" s="298"/>
      <c r="E4" s="295"/>
      <c r="F4" s="336" t="s">
        <v>116</v>
      </c>
      <c r="G4" s="337"/>
      <c r="H4" s="334"/>
      <c r="I4" s="335"/>
      <c r="J4" s="334"/>
      <c r="K4" s="339"/>
    </row>
    <row r="5" spans="2:11" ht="19.5" customHeight="1">
      <c r="B5" s="340" t="s">
        <v>117</v>
      </c>
      <c r="C5" s="296" t="s">
        <v>118</v>
      </c>
      <c r="D5" s="341"/>
      <c r="E5" s="343"/>
      <c r="F5" s="344" t="s">
        <v>117</v>
      </c>
      <c r="G5" s="297" t="s">
        <v>118</v>
      </c>
      <c r="H5" s="341"/>
      <c r="I5" s="342"/>
      <c r="J5" s="342"/>
      <c r="K5" s="343"/>
    </row>
    <row r="6" spans="2:11" ht="19.5" customHeight="1">
      <c r="B6" s="332"/>
      <c r="C6" s="296" t="s">
        <v>119</v>
      </c>
      <c r="D6" s="345"/>
      <c r="E6" s="347"/>
      <c r="F6" s="336"/>
      <c r="G6" s="297" t="s">
        <v>119</v>
      </c>
      <c r="H6" s="345"/>
      <c r="I6" s="346"/>
      <c r="J6" s="346"/>
      <c r="K6" s="347"/>
    </row>
    <row r="7" spans="2:11" ht="19.5" customHeight="1">
      <c r="B7" s="332"/>
      <c r="C7" s="296" t="s">
        <v>120</v>
      </c>
      <c r="D7" s="345"/>
      <c r="E7" s="347"/>
      <c r="F7" s="336"/>
      <c r="G7" s="297" t="s">
        <v>120</v>
      </c>
      <c r="H7" s="345"/>
      <c r="I7" s="346"/>
      <c r="J7" s="346"/>
      <c r="K7" s="347"/>
    </row>
    <row r="8" spans="2:11" ht="19.5" customHeight="1">
      <c r="B8" s="332" t="s">
        <v>121</v>
      </c>
      <c r="C8" s="333"/>
      <c r="D8" s="345"/>
      <c r="E8" s="347"/>
      <c r="F8" s="336" t="s">
        <v>121</v>
      </c>
      <c r="G8" s="337"/>
      <c r="H8" s="345"/>
      <c r="I8" s="346"/>
      <c r="J8" s="346"/>
      <c r="K8" s="347"/>
    </row>
    <row r="9" spans="2:11" ht="19.5" customHeight="1">
      <c r="B9" s="332" t="s">
        <v>122</v>
      </c>
      <c r="C9" s="333"/>
      <c r="D9" s="348"/>
      <c r="E9" s="350"/>
      <c r="F9" s="336" t="s">
        <v>122</v>
      </c>
      <c r="G9" s="337"/>
      <c r="H9" s="348"/>
      <c r="I9" s="349"/>
      <c r="J9" s="349"/>
      <c r="K9" s="350"/>
    </row>
    <row r="10" spans="2:11" ht="19.5" customHeight="1">
      <c r="B10" s="332" t="s">
        <v>123</v>
      </c>
      <c r="C10" s="333"/>
      <c r="D10" s="345"/>
      <c r="E10" s="347"/>
      <c r="F10" s="336" t="s">
        <v>123</v>
      </c>
      <c r="G10" s="337"/>
      <c r="H10" s="345"/>
      <c r="I10" s="346"/>
      <c r="J10" s="346"/>
      <c r="K10" s="347"/>
    </row>
    <row r="11" spans="2:11" ht="19.5" customHeight="1">
      <c r="B11" s="351" t="s">
        <v>124</v>
      </c>
      <c r="C11" s="352"/>
      <c r="D11" s="345"/>
      <c r="E11" s="347"/>
      <c r="F11" s="336" t="s">
        <v>124</v>
      </c>
      <c r="G11" s="337"/>
      <c r="H11" s="345"/>
      <c r="I11" s="346"/>
      <c r="J11" s="346"/>
      <c r="K11" s="347"/>
    </row>
    <row r="12" spans="2:11" ht="19.5" customHeight="1">
      <c r="B12" s="351" t="s">
        <v>125</v>
      </c>
      <c r="C12" s="352"/>
      <c r="D12" s="345"/>
      <c r="E12" s="347"/>
      <c r="F12" s="336" t="s">
        <v>166</v>
      </c>
      <c r="G12" s="337"/>
      <c r="H12" s="345"/>
      <c r="I12" s="346"/>
      <c r="J12" s="346"/>
      <c r="K12" s="347"/>
    </row>
    <row r="13" spans="2:11" ht="19.5" customHeight="1">
      <c r="B13" s="351" t="s">
        <v>518</v>
      </c>
      <c r="C13" s="352"/>
      <c r="D13" s="435"/>
      <c r="E13" s="436"/>
      <c r="F13" s="336" t="s">
        <v>519</v>
      </c>
      <c r="G13" s="337"/>
      <c r="H13" s="435"/>
      <c r="I13" s="437"/>
      <c r="J13" s="437"/>
      <c r="K13" s="436"/>
    </row>
    <row r="14" spans="2:11" ht="19.5" customHeight="1" thickBot="1">
      <c r="B14" s="438" t="s">
        <v>520</v>
      </c>
      <c r="C14" s="439"/>
      <c r="D14" s="440"/>
      <c r="E14" s="441"/>
      <c r="F14" s="442" t="s">
        <v>521</v>
      </c>
      <c r="G14" s="443"/>
      <c r="H14" s="440"/>
      <c r="I14" s="444"/>
      <c r="J14" s="444"/>
      <c r="K14" s="441"/>
    </row>
    <row r="15" ht="14.25" thickBot="1"/>
    <row r="16" spans="2:11" ht="19.5" customHeight="1" thickBot="1">
      <c r="B16" s="423" t="s">
        <v>522</v>
      </c>
      <c r="C16" s="424"/>
      <c r="D16" s="424"/>
      <c r="E16" s="424"/>
      <c r="F16" s="424"/>
      <c r="G16" s="424"/>
      <c r="H16" s="424"/>
      <c r="I16" s="424"/>
      <c r="J16" s="424"/>
      <c r="K16" s="425"/>
    </row>
    <row r="17" spans="2:11" ht="19.5" customHeight="1">
      <c r="B17" s="426" t="s">
        <v>523</v>
      </c>
      <c r="C17" s="427"/>
      <c r="D17" s="428">
        <f ca="1">TODAY()</f>
        <v>45265</v>
      </c>
      <c r="E17" s="428"/>
      <c r="F17" s="427" t="s">
        <v>524</v>
      </c>
      <c r="G17" s="427"/>
      <c r="H17" s="429" t="s">
        <v>525</v>
      </c>
      <c r="I17" s="429"/>
      <c r="J17" s="429"/>
      <c r="K17" s="430"/>
    </row>
    <row r="18" spans="2:11" ht="19.5" customHeight="1" thickBot="1">
      <c r="B18" s="431" t="s">
        <v>526</v>
      </c>
      <c r="C18" s="432"/>
      <c r="D18" s="314" t="s">
        <v>527</v>
      </c>
      <c r="E18" s="315" t="s">
        <v>528</v>
      </c>
      <c r="F18" s="433" t="s">
        <v>529</v>
      </c>
      <c r="G18" s="433"/>
      <c r="H18" s="433"/>
      <c r="I18" s="433"/>
      <c r="J18" s="433"/>
      <c r="K18" s="434"/>
    </row>
    <row r="19" ht="14.25" thickBot="1"/>
    <row r="20" spans="2:11" ht="19.5" customHeight="1" thickBot="1">
      <c r="B20" s="371" t="s">
        <v>530</v>
      </c>
      <c r="C20" s="372"/>
      <c r="D20" s="372"/>
      <c r="E20" s="372"/>
      <c r="F20" s="372"/>
      <c r="G20" s="372"/>
      <c r="H20" s="372"/>
      <c r="I20" s="372"/>
      <c r="J20" s="372"/>
      <c r="K20" s="419"/>
    </row>
    <row r="21" spans="2:11" ht="16.5">
      <c r="B21" s="420" t="s">
        <v>531</v>
      </c>
      <c r="C21" s="421"/>
      <c r="D21" s="421"/>
      <c r="E21" s="421"/>
      <c r="F21" s="421"/>
      <c r="G21" s="421"/>
      <c r="H21" s="421"/>
      <c r="I21" s="421"/>
      <c r="J21" s="421"/>
      <c r="K21" s="422"/>
    </row>
    <row r="22" spans="2:11" ht="13.5">
      <c r="B22" s="413" t="s">
        <v>532</v>
      </c>
      <c r="C22" s="414"/>
      <c r="D22" s="414"/>
      <c r="E22" s="414"/>
      <c r="F22" s="414"/>
      <c r="G22" s="414"/>
      <c r="H22" s="414"/>
      <c r="I22" s="414"/>
      <c r="J22" s="414"/>
      <c r="K22" s="415"/>
    </row>
    <row r="23" spans="2:11" ht="13.5">
      <c r="B23" s="413" t="s">
        <v>533</v>
      </c>
      <c r="C23" s="414"/>
      <c r="D23" s="414"/>
      <c r="E23" s="414"/>
      <c r="F23" s="414"/>
      <c r="G23" s="414"/>
      <c r="H23" s="414"/>
      <c r="I23" s="414"/>
      <c r="J23" s="414"/>
      <c r="K23" s="415"/>
    </row>
    <row r="24" spans="2:11" ht="13.5">
      <c r="B24" s="413" t="s">
        <v>534</v>
      </c>
      <c r="C24" s="414"/>
      <c r="D24" s="414"/>
      <c r="E24" s="414"/>
      <c r="F24" s="414"/>
      <c r="G24" s="414"/>
      <c r="H24" s="414"/>
      <c r="I24" s="414"/>
      <c r="J24" s="414"/>
      <c r="K24" s="415"/>
    </row>
    <row r="25" spans="2:11" ht="13.5">
      <c r="B25" s="413" t="s">
        <v>535</v>
      </c>
      <c r="C25" s="414"/>
      <c r="D25" s="414"/>
      <c r="E25" s="414"/>
      <c r="F25" s="414"/>
      <c r="G25" s="414"/>
      <c r="H25" s="414"/>
      <c r="I25" s="414"/>
      <c r="J25" s="414"/>
      <c r="K25" s="415"/>
    </row>
    <row r="26" spans="2:11" ht="13.5" customHeight="1">
      <c r="B26" s="413" t="s">
        <v>536</v>
      </c>
      <c r="C26" s="414"/>
      <c r="D26" s="414"/>
      <c r="E26" s="414"/>
      <c r="F26" s="414"/>
      <c r="G26" s="414"/>
      <c r="H26" s="414"/>
      <c r="I26" s="414"/>
      <c r="J26" s="414"/>
      <c r="K26" s="415"/>
    </row>
    <row r="27" spans="2:11" ht="13.5">
      <c r="B27" s="413"/>
      <c r="C27" s="414"/>
      <c r="D27" s="414"/>
      <c r="E27" s="414"/>
      <c r="F27" s="414"/>
      <c r="G27" s="414"/>
      <c r="H27" s="414"/>
      <c r="I27" s="414"/>
      <c r="J27" s="414"/>
      <c r="K27" s="415"/>
    </row>
    <row r="28" spans="2:11" ht="13.5">
      <c r="B28" s="413"/>
      <c r="C28" s="414"/>
      <c r="D28" s="414"/>
      <c r="E28" s="414"/>
      <c r="F28" s="414"/>
      <c r="G28" s="414"/>
      <c r="H28" s="414"/>
      <c r="I28" s="414"/>
      <c r="J28" s="414"/>
      <c r="K28" s="415"/>
    </row>
    <row r="29" spans="2:11" ht="13.5">
      <c r="B29" s="413"/>
      <c r="C29" s="414"/>
      <c r="D29" s="414"/>
      <c r="E29" s="414"/>
      <c r="F29" s="414"/>
      <c r="G29" s="414"/>
      <c r="H29" s="414"/>
      <c r="I29" s="414"/>
      <c r="J29" s="414"/>
      <c r="K29" s="415"/>
    </row>
    <row r="30" spans="2:11" ht="13.5">
      <c r="B30" s="413"/>
      <c r="C30" s="414"/>
      <c r="D30" s="414"/>
      <c r="E30" s="414"/>
      <c r="F30" s="414"/>
      <c r="G30" s="414"/>
      <c r="H30" s="414"/>
      <c r="I30" s="414"/>
      <c r="J30" s="414"/>
      <c r="K30" s="415"/>
    </row>
    <row r="31" spans="2:11" ht="13.5">
      <c r="B31" s="413"/>
      <c r="C31" s="414"/>
      <c r="D31" s="414"/>
      <c r="E31" s="414"/>
      <c r="F31" s="414"/>
      <c r="G31" s="414"/>
      <c r="H31" s="414"/>
      <c r="I31" s="414"/>
      <c r="J31" s="414"/>
      <c r="K31" s="415"/>
    </row>
    <row r="32" spans="2:11" ht="13.5">
      <c r="B32" s="413"/>
      <c r="C32" s="414"/>
      <c r="D32" s="414"/>
      <c r="E32" s="414"/>
      <c r="F32" s="414"/>
      <c r="G32" s="414"/>
      <c r="H32" s="414"/>
      <c r="I32" s="414"/>
      <c r="J32" s="414"/>
      <c r="K32" s="415"/>
    </row>
    <row r="33" spans="2:11" ht="13.5">
      <c r="B33" s="413"/>
      <c r="C33" s="414"/>
      <c r="D33" s="414"/>
      <c r="E33" s="414"/>
      <c r="F33" s="414"/>
      <c r="G33" s="414"/>
      <c r="H33" s="414"/>
      <c r="I33" s="414"/>
      <c r="J33" s="414"/>
      <c r="K33" s="415"/>
    </row>
    <row r="34" spans="2:11" ht="13.5">
      <c r="B34" s="413"/>
      <c r="C34" s="414"/>
      <c r="D34" s="414"/>
      <c r="E34" s="414"/>
      <c r="F34" s="414"/>
      <c r="G34" s="414"/>
      <c r="H34" s="414"/>
      <c r="I34" s="414"/>
      <c r="J34" s="414"/>
      <c r="K34" s="415"/>
    </row>
    <row r="35" spans="2:11" ht="13.5">
      <c r="B35" s="413"/>
      <c r="C35" s="414"/>
      <c r="D35" s="414"/>
      <c r="E35" s="414"/>
      <c r="F35" s="414"/>
      <c r="G35" s="414"/>
      <c r="H35" s="414"/>
      <c r="I35" s="414"/>
      <c r="J35" s="414"/>
      <c r="K35" s="415"/>
    </row>
    <row r="36" spans="2:11" ht="13.5">
      <c r="B36" s="413"/>
      <c r="C36" s="414"/>
      <c r="D36" s="414"/>
      <c r="E36" s="414"/>
      <c r="F36" s="414"/>
      <c r="G36" s="414"/>
      <c r="H36" s="414"/>
      <c r="I36" s="414"/>
      <c r="J36" s="414"/>
      <c r="K36" s="415"/>
    </row>
    <row r="37" spans="2:11" ht="13.5">
      <c r="B37" s="413"/>
      <c r="C37" s="414"/>
      <c r="D37" s="414"/>
      <c r="E37" s="414"/>
      <c r="F37" s="414"/>
      <c r="G37" s="414"/>
      <c r="H37" s="414"/>
      <c r="I37" s="414"/>
      <c r="J37" s="414"/>
      <c r="K37" s="415"/>
    </row>
    <row r="38" spans="2:11" ht="13.5">
      <c r="B38" s="413"/>
      <c r="C38" s="414"/>
      <c r="D38" s="414"/>
      <c r="E38" s="414"/>
      <c r="F38" s="414"/>
      <c r="G38" s="414"/>
      <c r="H38" s="414"/>
      <c r="I38" s="414"/>
      <c r="J38" s="414"/>
      <c r="K38" s="415"/>
    </row>
    <row r="39" spans="2:11" ht="13.5">
      <c r="B39" s="413"/>
      <c r="C39" s="414"/>
      <c r="D39" s="414"/>
      <c r="E39" s="414"/>
      <c r="F39" s="414"/>
      <c r="G39" s="414"/>
      <c r="H39" s="414"/>
      <c r="I39" s="414"/>
      <c r="J39" s="414"/>
      <c r="K39" s="415"/>
    </row>
    <row r="40" spans="2:11" ht="13.5">
      <c r="B40" s="413"/>
      <c r="C40" s="414"/>
      <c r="D40" s="414"/>
      <c r="E40" s="414"/>
      <c r="F40" s="414"/>
      <c r="G40" s="414"/>
      <c r="H40" s="414"/>
      <c r="I40" s="414"/>
      <c r="J40" s="414"/>
      <c r="K40" s="415"/>
    </row>
    <row r="41" spans="2:11" ht="13.5">
      <c r="B41" s="413"/>
      <c r="C41" s="414"/>
      <c r="D41" s="414"/>
      <c r="E41" s="414"/>
      <c r="F41" s="414"/>
      <c r="G41" s="414"/>
      <c r="H41" s="414"/>
      <c r="I41" s="414"/>
      <c r="J41" s="414"/>
      <c r="K41" s="415"/>
    </row>
    <row r="42" spans="2:11" ht="13.5">
      <c r="B42" s="413"/>
      <c r="C42" s="414"/>
      <c r="D42" s="414"/>
      <c r="E42" s="414"/>
      <c r="F42" s="414"/>
      <c r="G42" s="414"/>
      <c r="H42" s="414"/>
      <c r="I42" s="414"/>
      <c r="J42" s="414"/>
      <c r="K42" s="415"/>
    </row>
    <row r="43" spans="2:11" ht="13.5">
      <c r="B43" s="413"/>
      <c r="C43" s="414"/>
      <c r="D43" s="414"/>
      <c r="E43" s="414"/>
      <c r="F43" s="414"/>
      <c r="G43" s="414"/>
      <c r="H43" s="414"/>
      <c r="I43" s="414"/>
      <c r="J43" s="414"/>
      <c r="K43" s="415"/>
    </row>
    <row r="44" spans="2:11" ht="13.5">
      <c r="B44" s="413"/>
      <c r="C44" s="414"/>
      <c r="D44" s="414"/>
      <c r="E44" s="414"/>
      <c r="F44" s="414"/>
      <c r="G44" s="414"/>
      <c r="H44" s="414"/>
      <c r="I44" s="414"/>
      <c r="J44" s="414"/>
      <c r="K44" s="415"/>
    </row>
    <row r="45" spans="2:11" ht="13.5">
      <c r="B45" s="413"/>
      <c r="C45" s="414"/>
      <c r="D45" s="414"/>
      <c r="E45" s="414"/>
      <c r="F45" s="414"/>
      <c r="G45" s="414"/>
      <c r="H45" s="414"/>
      <c r="I45" s="414"/>
      <c r="J45" s="414"/>
      <c r="K45" s="415"/>
    </row>
    <row r="46" spans="2:11" ht="13.5">
      <c r="B46" s="413"/>
      <c r="C46" s="414"/>
      <c r="D46" s="414"/>
      <c r="E46" s="414"/>
      <c r="F46" s="414"/>
      <c r="G46" s="414"/>
      <c r="H46" s="414"/>
      <c r="I46" s="414"/>
      <c r="J46" s="414"/>
      <c r="K46" s="415"/>
    </row>
    <row r="47" spans="2:11" ht="13.5">
      <c r="B47" s="413"/>
      <c r="C47" s="414"/>
      <c r="D47" s="414"/>
      <c r="E47" s="414"/>
      <c r="F47" s="414"/>
      <c r="G47" s="414"/>
      <c r="H47" s="414"/>
      <c r="I47" s="414"/>
      <c r="J47" s="414"/>
      <c r="K47" s="415"/>
    </row>
    <row r="48" spans="2:11" ht="13.5">
      <c r="B48" s="413"/>
      <c r="C48" s="414"/>
      <c r="D48" s="414"/>
      <c r="E48" s="414"/>
      <c r="F48" s="414"/>
      <c r="G48" s="414"/>
      <c r="H48" s="414"/>
      <c r="I48" s="414"/>
      <c r="J48" s="414"/>
      <c r="K48" s="415"/>
    </row>
    <row r="49" spans="2:11" ht="13.5">
      <c r="B49" s="413"/>
      <c r="C49" s="414"/>
      <c r="D49" s="414"/>
      <c r="E49" s="414"/>
      <c r="F49" s="414"/>
      <c r="G49" s="414"/>
      <c r="H49" s="414"/>
      <c r="I49" s="414"/>
      <c r="J49" s="414"/>
      <c r="K49" s="415"/>
    </row>
    <row r="50" spans="2:11" ht="13.5">
      <c r="B50" s="413"/>
      <c r="C50" s="414"/>
      <c r="D50" s="414"/>
      <c r="E50" s="414"/>
      <c r="F50" s="414"/>
      <c r="G50" s="414"/>
      <c r="H50" s="414"/>
      <c r="I50" s="414"/>
      <c r="J50" s="414"/>
      <c r="K50" s="415"/>
    </row>
    <row r="51" spans="2:11" ht="13.5">
      <c r="B51" s="413"/>
      <c r="C51" s="414"/>
      <c r="D51" s="414"/>
      <c r="E51" s="414"/>
      <c r="F51" s="414"/>
      <c r="G51" s="414"/>
      <c r="H51" s="414"/>
      <c r="I51" s="414"/>
      <c r="J51" s="414"/>
      <c r="K51" s="415"/>
    </row>
    <row r="52" spans="2:11" ht="14.25" thickBot="1">
      <c r="B52" s="416"/>
      <c r="C52" s="417"/>
      <c r="D52" s="417"/>
      <c r="E52" s="417"/>
      <c r="F52" s="417"/>
      <c r="G52" s="417"/>
      <c r="H52" s="417"/>
      <c r="I52" s="417"/>
      <c r="J52" s="417"/>
      <c r="K52" s="418"/>
    </row>
  </sheetData>
  <sheetProtection/>
  <mergeCells count="88">
    <mergeCell ref="B1:D1"/>
    <mergeCell ref="H1:K1"/>
    <mergeCell ref="B2:E2"/>
    <mergeCell ref="F2:K2"/>
    <mergeCell ref="B3:C3"/>
    <mergeCell ref="F3:G3"/>
    <mergeCell ref="H3:I3"/>
    <mergeCell ref="J3:K3"/>
    <mergeCell ref="B4:C4"/>
    <mergeCell ref="F4:G4"/>
    <mergeCell ref="H4:I4"/>
    <mergeCell ref="J4:K4"/>
    <mergeCell ref="B5:B7"/>
    <mergeCell ref="D5:E5"/>
    <mergeCell ref="F5:F7"/>
    <mergeCell ref="H5:K5"/>
    <mergeCell ref="D6:E6"/>
    <mergeCell ref="H6:K6"/>
    <mergeCell ref="D7:E7"/>
    <mergeCell ref="H7:K7"/>
    <mergeCell ref="B8:C8"/>
    <mergeCell ref="D8:E8"/>
    <mergeCell ref="F8:G8"/>
    <mergeCell ref="H8:K8"/>
    <mergeCell ref="B9:C9"/>
    <mergeCell ref="D9:E9"/>
    <mergeCell ref="F9:G9"/>
    <mergeCell ref="H9:K9"/>
    <mergeCell ref="B10:C10"/>
    <mergeCell ref="D10:E10"/>
    <mergeCell ref="F10:G10"/>
    <mergeCell ref="H10:K10"/>
    <mergeCell ref="B11:C11"/>
    <mergeCell ref="D11:E11"/>
    <mergeCell ref="F11:G11"/>
    <mergeCell ref="H11:K11"/>
    <mergeCell ref="B12:C12"/>
    <mergeCell ref="D12:E12"/>
    <mergeCell ref="F12:G12"/>
    <mergeCell ref="H12:K12"/>
    <mergeCell ref="B13:C13"/>
    <mergeCell ref="D13:E13"/>
    <mergeCell ref="F13:G13"/>
    <mergeCell ref="H13:K13"/>
    <mergeCell ref="B14:C14"/>
    <mergeCell ref="D14:E14"/>
    <mergeCell ref="F14:G14"/>
    <mergeCell ref="H14:K14"/>
    <mergeCell ref="B16:K16"/>
    <mergeCell ref="B17:C17"/>
    <mergeCell ref="D17:E17"/>
    <mergeCell ref="F17:G17"/>
    <mergeCell ref="H17:K17"/>
    <mergeCell ref="B18:C18"/>
    <mergeCell ref="F18:K18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50:K50"/>
    <mergeCell ref="B51:K51"/>
    <mergeCell ref="B52:K52"/>
    <mergeCell ref="B44:K44"/>
    <mergeCell ref="B45:K45"/>
    <mergeCell ref="B46:K46"/>
    <mergeCell ref="B47:K47"/>
    <mergeCell ref="B48:K48"/>
    <mergeCell ref="B49:K49"/>
  </mergeCells>
  <dataValidations count="7">
    <dataValidation type="whole" allowBlank="1" showInputMessage="1" showErrorMessage="1" imeMode="off" sqref="H13:J14 D13:D14">
      <formula1>0</formula1>
      <formula2>99999999999</formula2>
    </dataValidation>
    <dataValidation type="list" allowBlank="1" showInputMessage="1" showErrorMessage="1" imeMode="on" sqref="D11 H11:J11">
      <formula1>"男性,女性"</formula1>
    </dataValidation>
    <dataValidation allowBlank="1" showInputMessage="1" showErrorMessage="1" imeMode="halfKatakana" sqref="D4:E4 H4"/>
    <dataValidation allowBlank="1" showInputMessage="1" showErrorMessage="1" imeMode="on" sqref="D6:D8 G17 H3 D3:E3 H6:J8 C12 C17:C18"/>
    <dataValidation type="whole" allowBlank="1" showInputMessage="1" showErrorMessage="1" imeMode="off" sqref="D10 H10:J10">
      <formula1>16</formula1>
      <formula2>99</formula2>
    </dataValidation>
    <dataValidation allowBlank="1" showInputMessage="1" showErrorMessage="1" imeMode="off" sqref="H9:J9 H17 D5 D9 H5:J5 D17:D18"/>
    <dataValidation type="list" allowBlank="1" showInputMessage="1" showErrorMessage="1" sqref="D12 H12:J12">
      <formula1>"会社員,専業主婦,専業主夫,自営業,役員,学生,自由業,パート,アルバイト,無職,その他"</formula1>
    </dataValidation>
  </dataValidation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&amp;L&amp;"HG丸ｺﾞｼｯｸM-PRO,標準"&amp;12行政書士　東京中央法務オフィス
&amp;"HG丸ｺﾞｼｯｸM-PRO,太字"必要事項記入シート&amp;R&amp;"HG丸ｺﾞｼｯｸM-PRO,太字"&amp;14FAX：03-6268-9018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L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28" bestFit="1" customWidth="1"/>
    <col min="2" max="2" width="9.7109375" style="128" bestFit="1" customWidth="1"/>
    <col min="3" max="3" width="11.00390625" style="128" bestFit="1" customWidth="1"/>
    <col min="4" max="4" width="5.7109375" style="128" bestFit="1" customWidth="1"/>
    <col min="5" max="5" width="15.140625" style="128" bestFit="1" customWidth="1"/>
    <col min="6" max="6" width="2.421875" style="128" bestFit="1" customWidth="1"/>
    <col min="7" max="7" width="7.8515625" style="128" bestFit="1" customWidth="1"/>
    <col min="8" max="8" width="13.57421875" style="128" bestFit="1" customWidth="1"/>
    <col min="9" max="9" width="9.8515625" style="128" bestFit="1" customWidth="1"/>
    <col min="10" max="10" width="5.28125" style="128" bestFit="1" customWidth="1"/>
    <col min="11" max="11" width="6.421875" style="128" bestFit="1" customWidth="1"/>
    <col min="12" max="12" width="15.7109375" style="128" bestFit="1" customWidth="1"/>
    <col min="13" max="13" width="2.421875" style="128" bestFit="1" customWidth="1"/>
    <col min="14" max="14" width="7.57421875" style="128" customWidth="1"/>
    <col min="15" max="16384" width="9.00390625" style="128" customWidth="1"/>
  </cols>
  <sheetData>
    <row r="2" spans="2:12" ht="13.5">
      <c r="B2" s="446" t="s">
        <v>505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2:12" ht="14.25" customHeight="1" thickBot="1"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2:12" ht="13.5" customHeight="1">
      <c r="B4" s="448" t="s">
        <v>1</v>
      </c>
      <c r="C4" s="449"/>
      <c r="D4" s="449"/>
      <c r="E4" s="449"/>
      <c r="F4" s="449"/>
      <c r="G4" s="449"/>
      <c r="H4" s="449"/>
      <c r="I4" s="449"/>
      <c r="J4" s="449"/>
      <c r="K4" s="449"/>
      <c r="L4" s="450"/>
    </row>
    <row r="5" spans="2:12" ht="14.25" customHeight="1" thickBot="1"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3"/>
    </row>
    <row r="7" spans="2:5" ht="13.5">
      <c r="B7" s="292" t="s">
        <v>506</v>
      </c>
      <c r="C7" s="291" t="s">
        <v>3</v>
      </c>
      <c r="D7" s="291" t="s">
        <v>4</v>
      </c>
      <c r="E7" s="291" t="s">
        <v>5</v>
      </c>
    </row>
    <row r="8" spans="3:7" ht="13.5">
      <c r="C8" s="3">
        <v>0</v>
      </c>
      <c r="D8" s="3">
        <v>1</v>
      </c>
      <c r="E8" s="4">
        <f>IF(C8="","",C8*IF(D8&gt;120,120,D8))</f>
        <v>0</v>
      </c>
      <c r="G8" s="127" t="s">
        <v>315</v>
      </c>
    </row>
    <row r="9" spans="3:5" ht="13.5">
      <c r="C9" s="3"/>
      <c r="D9" s="3"/>
      <c r="E9" s="4">
        <f>IF(C9="","",C9*D9)</f>
      </c>
    </row>
    <row r="10" spans="3:5" ht="13.5">
      <c r="C10" s="3"/>
      <c r="D10" s="3"/>
      <c r="E10" s="4">
        <f>IF(C10="","",C10*D10)</f>
      </c>
    </row>
    <row r="11" spans="3:5" ht="13.5">
      <c r="C11" s="3"/>
      <c r="D11" s="3"/>
      <c r="E11" s="4">
        <f>IF(C11="","",C11*D11)</f>
      </c>
    </row>
    <row r="12" spans="3:5" ht="14.25" thickBot="1">
      <c r="C12" s="3"/>
      <c r="D12" s="3"/>
      <c r="E12" s="4">
        <f>IF(C12="","",C12*D12)</f>
      </c>
    </row>
    <row r="13" ht="14.25" thickBot="1">
      <c r="E13" s="5">
        <f>SUM(E8:E12)</f>
        <v>0</v>
      </c>
    </row>
    <row r="14" ht="14.25" thickBot="1"/>
    <row r="15" spans="2:12" ht="14.25" thickBot="1">
      <c r="B15" s="292" t="s">
        <v>6</v>
      </c>
      <c r="C15" s="290" t="s">
        <v>397</v>
      </c>
      <c r="D15" s="7">
        <f>IF(C15="あり",1,0)</f>
        <v>1</v>
      </c>
      <c r="E15" s="8">
        <f>IF(C15="あり",5000000*D15,0)</f>
        <v>5000000</v>
      </c>
      <c r="J15" s="454" t="s">
        <v>8</v>
      </c>
      <c r="K15" s="455"/>
      <c r="L15" s="5">
        <f>E13+E15</f>
        <v>5000000</v>
      </c>
    </row>
    <row r="16" spans="10:12" ht="14.25" thickBot="1">
      <c r="J16" s="454" t="s">
        <v>9</v>
      </c>
      <c r="K16" s="454"/>
      <c r="L16" s="5">
        <f>IF(L15=0,0,IF(L15&gt;'手数料'!$E$4,IF(L15&gt;'手数料'!$E$5,IF(L15&gt;'手数料'!$E$8,IF(L15&gt;'手数料'!$E$13,IF(L15&gt;'手数料'!$E$33,IF(L15&gt;'手数料'!$E$53,'手数料'!$F$54,'手数料'!$F$53),'手数料'!$F$33),'手数料'!$F$13),'手数料'!$F$8),'手数料'!$F$5),'手数料'!$F$4))</f>
        <v>11000</v>
      </c>
    </row>
    <row r="18" spans="2:12" ht="14.25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20" spans="2:5" ht="13.5">
      <c r="B20" s="292" t="s">
        <v>10</v>
      </c>
      <c r="C20" s="291" t="s">
        <v>3</v>
      </c>
      <c r="D20" s="291" t="s">
        <v>4</v>
      </c>
      <c r="E20" s="291" t="s">
        <v>5</v>
      </c>
    </row>
    <row r="21" spans="3:5" ht="13.5">
      <c r="C21" s="3">
        <v>0</v>
      </c>
      <c r="D21" s="3">
        <v>1</v>
      </c>
      <c r="E21" s="4">
        <f>IF(C21="","",C21*D21)</f>
        <v>0</v>
      </c>
    </row>
    <row r="22" spans="3:5" ht="14.25" thickBot="1">
      <c r="C22" s="3"/>
      <c r="D22" s="3"/>
      <c r="E22" s="10"/>
    </row>
    <row r="23" spans="3:5" ht="14.25" thickBot="1">
      <c r="C23" s="16"/>
      <c r="D23" s="16"/>
      <c r="E23" s="5">
        <f>SUM(E21:E22)</f>
        <v>0</v>
      </c>
    </row>
    <row r="25" spans="2:12" ht="13.5">
      <c r="B25" s="292" t="s">
        <v>11</v>
      </c>
      <c r="C25" s="291" t="s">
        <v>3</v>
      </c>
      <c r="D25" s="291" t="s">
        <v>4</v>
      </c>
      <c r="E25" s="291" t="s">
        <v>5</v>
      </c>
      <c r="G25" s="292" t="s">
        <v>12</v>
      </c>
      <c r="H25" s="291" t="s">
        <v>13</v>
      </c>
      <c r="I25" s="456" t="s">
        <v>14</v>
      </c>
      <c r="J25" s="456"/>
      <c r="K25" s="456"/>
      <c r="L25" s="291" t="s">
        <v>8</v>
      </c>
    </row>
    <row r="26" spans="2:12" ht="13.5">
      <c r="B26" s="173"/>
      <c r="C26" s="3">
        <v>0</v>
      </c>
      <c r="D26" s="3">
        <v>1</v>
      </c>
      <c r="E26" s="4">
        <f>IF(C26="","",C26*D26)</f>
        <v>0</v>
      </c>
      <c r="H26" s="3"/>
      <c r="I26" s="3"/>
      <c r="J26" s="12" t="s">
        <v>15</v>
      </c>
      <c r="K26" s="3">
        <v>1</v>
      </c>
      <c r="L26" s="4">
        <f>IF(H26=0,0,IF(OR(I26=0,K26=0),0,H26*K26/I26))</f>
        <v>0</v>
      </c>
    </row>
    <row r="27" spans="2:12" ht="13.5">
      <c r="B27" s="173"/>
      <c r="C27" s="3"/>
      <c r="D27" s="3"/>
      <c r="E27" s="4">
        <f>IF(C27="","",C27*D27)</f>
      </c>
      <c r="H27" s="3"/>
      <c r="I27" s="3"/>
      <c r="J27" s="12" t="s">
        <v>15</v>
      </c>
      <c r="K27" s="3">
        <v>1</v>
      </c>
      <c r="L27" s="4">
        <f>IF(H27=0,0,IF(OR(I27=0,K27=0),0,H27*K27/I27))</f>
        <v>0</v>
      </c>
    </row>
    <row r="28" spans="2:12" ht="13.5">
      <c r="B28" s="173"/>
      <c r="C28" s="3"/>
      <c r="D28" s="3"/>
      <c r="E28" s="4">
        <f>IF(C28="","",C28*D28)</f>
      </c>
      <c r="H28" s="3"/>
      <c r="I28" s="3"/>
      <c r="J28" s="12" t="s">
        <v>15</v>
      </c>
      <c r="K28" s="3">
        <v>1</v>
      </c>
      <c r="L28" s="4">
        <f>IF(H28=0,0,IF(OR(I28=0,K28=0),0,H28*K28/I28))</f>
        <v>0</v>
      </c>
    </row>
    <row r="29" spans="2:12" ht="13.5">
      <c r="B29" s="173"/>
      <c r="C29" s="3"/>
      <c r="D29" s="3"/>
      <c r="E29" s="4">
        <f>IF(C29="","",C29*D29)</f>
      </c>
      <c r="H29" s="3"/>
      <c r="I29" s="3"/>
      <c r="J29" s="12" t="s">
        <v>15</v>
      </c>
      <c r="K29" s="3">
        <v>1</v>
      </c>
      <c r="L29" s="4">
        <f>IF(H29=0,0,IF(OR(I29=0,K29=0),0,H29*K29/I29))</f>
        <v>0</v>
      </c>
    </row>
    <row r="30" spans="2:12" ht="14.25" thickBot="1">
      <c r="B30" s="78"/>
      <c r="C30" s="3"/>
      <c r="D30" s="3"/>
      <c r="E30" s="4">
        <f>IF(C30="","",C30*D30)</f>
      </c>
      <c r="H30" s="3"/>
      <c r="I30" s="3"/>
      <c r="J30" s="12" t="s">
        <v>15</v>
      </c>
      <c r="K30" s="3">
        <v>1</v>
      </c>
      <c r="L30" s="4">
        <f>IF(H30=0,0,IF(OR(I30=0,K30=0),0,H30*K30/I30))</f>
        <v>0</v>
      </c>
    </row>
    <row r="31" spans="5:12" ht="14.25" thickBot="1">
      <c r="E31" s="5">
        <f>SUM(E26:E30)</f>
        <v>0</v>
      </c>
      <c r="L31" s="5">
        <f>SUM(L26:L30)</f>
        <v>0</v>
      </c>
    </row>
    <row r="32" ht="14.25" thickBot="1"/>
    <row r="33" spans="2:12" ht="14.25" thickBot="1">
      <c r="B33" s="292" t="s">
        <v>6</v>
      </c>
      <c r="C33" s="290" t="s">
        <v>397</v>
      </c>
      <c r="D33" s="7">
        <f>IF(C33="あり",1,0)</f>
        <v>1</v>
      </c>
      <c r="E33" s="8">
        <f>IF(C33="あり",5000000*D33,0)</f>
        <v>5000000</v>
      </c>
      <c r="J33" s="454" t="s">
        <v>8</v>
      </c>
      <c r="K33" s="455"/>
      <c r="L33" s="5">
        <f>E23+E31+E33+L31</f>
        <v>5000000</v>
      </c>
    </row>
    <row r="34" spans="10:12" ht="14.25" thickBot="1">
      <c r="J34" s="454" t="s">
        <v>9</v>
      </c>
      <c r="K34" s="454"/>
      <c r="L34" s="5">
        <f>IF(L33=0,0,IF(L33&gt;'手数料'!$E$4,IF(L33&gt;'手数料'!$E$5,IF(L33&gt;'手数料'!$E$8,IF(L33&gt;'手数料'!$E$13,IF(L33&gt;'手数料'!$E$33,IF(L33&gt;'手数料'!$E$53,'手数料'!$F$54,'手数料'!$F$53),'手数料'!$F$33),'手数料'!$F$13),'手数料'!$F$8),'手数料'!$F$5),'手数料'!$F$4))</f>
        <v>11000</v>
      </c>
    </row>
    <row r="35" ht="14.25" thickBot="1"/>
    <row r="36" spans="2:12" ht="14.25" thickBot="1">
      <c r="B36" s="292" t="s">
        <v>16</v>
      </c>
      <c r="C36" s="290" t="s">
        <v>7</v>
      </c>
      <c r="D36" s="7">
        <f>IF(C36="あり",1,0)</f>
        <v>0</v>
      </c>
      <c r="E36" s="8">
        <f>IF(C36="あり",5000000*D36,0)</f>
        <v>0</v>
      </c>
      <c r="J36" s="454" t="s">
        <v>9</v>
      </c>
      <c r="K36" s="454"/>
      <c r="L36" s="5">
        <f>IF(D36=0,0,11000)</f>
        <v>0</v>
      </c>
    </row>
    <row r="38" spans="2:12" ht="14.25" thickBo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41" spans="2:5" ht="17.25">
      <c r="B41" s="457" t="s">
        <v>396</v>
      </c>
      <c r="C41" s="182" t="str">
        <f>B7</f>
        <v>婚姻費用</v>
      </c>
      <c r="D41" s="460">
        <f>L16</f>
        <v>11000</v>
      </c>
      <c r="E41" s="460"/>
    </row>
    <row r="42" spans="2:5" ht="17.25">
      <c r="B42" s="458"/>
      <c r="C42" s="182" t="s">
        <v>11</v>
      </c>
      <c r="D42" s="460">
        <f>L34</f>
        <v>11000</v>
      </c>
      <c r="E42" s="460"/>
    </row>
    <row r="43" spans="2:5" ht="17.25">
      <c r="B43" s="459"/>
      <c r="C43" s="182" t="s">
        <v>16</v>
      </c>
      <c r="D43" s="460">
        <f>L36</f>
        <v>0</v>
      </c>
      <c r="E43" s="460"/>
    </row>
    <row r="44" spans="2:5" ht="17.25">
      <c r="B44" s="464" t="s">
        <v>395</v>
      </c>
      <c r="C44" s="464"/>
      <c r="D44" s="460">
        <f>IF(SUM(D41:E43)=0,0,4000+IF(D36=1,4000,0)+IF(C36="あり",2000,0)+IF(C28&lt;&gt;0,2000,0)+IF(H26&lt;&gt;0,2000,0))</f>
        <v>4000</v>
      </c>
      <c r="E44" s="460"/>
    </row>
    <row r="45" spans="2:8" ht="17.25">
      <c r="B45" s="464" t="s">
        <v>17</v>
      </c>
      <c r="C45" s="464"/>
      <c r="D45" s="460">
        <f>IF(D44=0,0,2775*G45)</f>
        <v>2775</v>
      </c>
      <c r="E45" s="460"/>
      <c r="G45" s="13">
        <v>1</v>
      </c>
      <c r="H45" s="14"/>
    </row>
    <row r="47" spans="2:5" ht="21">
      <c r="B47" s="463" t="s">
        <v>18</v>
      </c>
      <c r="C47" s="463"/>
      <c r="D47" s="462">
        <f>SUM(D41:D45)</f>
        <v>28775</v>
      </c>
      <c r="E47" s="462"/>
    </row>
    <row r="49" spans="2:12" ht="14.25" thickBo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1" spans="2:5" ht="21">
      <c r="B51" s="461" t="s">
        <v>324</v>
      </c>
      <c r="C51" s="461"/>
      <c r="D51" s="462">
        <f>IF(OR(L36&lt;&gt;0,COUNTA(C8:C12)&gt;2),77000,IF(AND(D33=0,D15=0),55000,77000))</f>
        <v>77000</v>
      </c>
      <c r="E51" s="462"/>
    </row>
    <row r="53" spans="2:12" ht="14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5" spans="2:5" ht="21">
      <c r="B55" s="463" t="s">
        <v>18</v>
      </c>
      <c r="C55" s="463"/>
      <c r="D55" s="462">
        <f>D47+D51</f>
        <v>105775</v>
      </c>
      <c r="E55" s="462"/>
    </row>
  </sheetData>
  <sheetProtection/>
  <mergeCells count="22">
    <mergeCell ref="B51:C51"/>
    <mergeCell ref="D51:E51"/>
    <mergeCell ref="B55:C55"/>
    <mergeCell ref="D55:E55"/>
    <mergeCell ref="B44:C44"/>
    <mergeCell ref="D44:E44"/>
    <mergeCell ref="B45:C45"/>
    <mergeCell ref="D45:E45"/>
    <mergeCell ref="B47:C47"/>
    <mergeCell ref="D47:E47"/>
    <mergeCell ref="J34:K34"/>
    <mergeCell ref="J36:K36"/>
    <mergeCell ref="B41:B43"/>
    <mergeCell ref="D41:E41"/>
    <mergeCell ref="D42:E42"/>
    <mergeCell ref="D43:E43"/>
    <mergeCell ref="B2:L3"/>
    <mergeCell ref="B4:L5"/>
    <mergeCell ref="J15:K15"/>
    <mergeCell ref="J16:K16"/>
    <mergeCell ref="I25:K25"/>
    <mergeCell ref="J33:K33"/>
  </mergeCells>
  <dataValidations count="1">
    <dataValidation type="list" allowBlank="1" showInputMessage="1" showErrorMessage="1" sqref="C33 C15 C36">
      <formula1>"あり,なし"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2:D10"/>
  <sheetViews>
    <sheetView workbookViewId="0" topLeftCell="A1">
      <selection activeCell="D3" sqref="D3:D4"/>
    </sheetView>
  </sheetViews>
  <sheetFormatPr defaultColWidth="9.140625" defaultRowHeight="15"/>
  <cols>
    <col min="1" max="1" width="3.421875" style="310" bestFit="1" customWidth="1"/>
    <col min="2" max="2" width="4.421875" style="310" bestFit="1" customWidth="1"/>
    <col min="3" max="3" width="13.421875" style="310" bestFit="1" customWidth="1"/>
    <col min="4" max="4" width="68.7109375" style="310" bestFit="1" customWidth="1"/>
    <col min="5" max="5" width="2.421875" style="310" bestFit="1" customWidth="1"/>
    <col min="6" max="16384" width="9.00390625" style="310" customWidth="1"/>
  </cols>
  <sheetData>
    <row r="2" spans="2:4" ht="55.5" customHeight="1">
      <c r="B2" s="465" t="s">
        <v>509</v>
      </c>
      <c r="C2" s="465"/>
      <c r="D2" s="465"/>
    </row>
    <row r="3" spans="2:4" ht="27.75" customHeight="1">
      <c r="B3" s="466">
        <v>1</v>
      </c>
      <c r="C3" s="468" t="s">
        <v>99</v>
      </c>
      <c r="D3" s="470" t="s">
        <v>515</v>
      </c>
    </row>
    <row r="4" spans="2:4" ht="27.75" customHeight="1">
      <c r="B4" s="467"/>
      <c r="C4" s="469"/>
      <c r="D4" s="471"/>
    </row>
    <row r="5" spans="2:4" ht="27.75" customHeight="1">
      <c r="B5" s="472">
        <v>2</v>
      </c>
      <c r="C5" s="473" t="s">
        <v>101</v>
      </c>
      <c r="D5" s="474" t="s">
        <v>102</v>
      </c>
    </row>
    <row r="6" spans="2:4" ht="27.75" customHeight="1">
      <c r="B6" s="472"/>
      <c r="C6" s="473"/>
      <c r="D6" s="474"/>
    </row>
    <row r="7" spans="2:4" ht="27.75" customHeight="1">
      <c r="B7" s="472">
        <v>3</v>
      </c>
      <c r="C7" s="475" t="s">
        <v>507</v>
      </c>
      <c r="D7" s="476" t="s">
        <v>508</v>
      </c>
    </row>
    <row r="8" spans="2:4" ht="27.75" customHeight="1">
      <c r="B8" s="472"/>
      <c r="C8" s="473"/>
      <c r="D8" s="477"/>
    </row>
    <row r="9" spans="2:4" ht="27.75" customHeight="1">
      <c r="B9" s="472" t="s">
        <v>111</v>
      </c>
      <c r="C9" s="475" t="s">
        <v>112</v>
      </c>
      <c r="D9" s="311" t="s">
        <v>113</v>
      </c>
    </row>
    <row r="10" spans="2:4" ht="27.75" customHeight="1">
      <c r="B10" s="472"/>
      <c r="C10" s="473"/>
      <c r="D10" s="311" t="s">
        <v>114</v>
      </c>
    </row>
    <row r="11" ht="27.75" customHeight="1"/>
  </sheetData>
  <sheetProtection/>
  <mergeCells count="12">
    <mergeCell ref="B9:B10"/>
    <mergeCell ref="C9:C10"/>
    <mergeCell ref="D7:D8"/>
    <mergeCell ref="B7:B8"/>
    <mergeCell ref="C7:C8"/>
    <mergeCell ref="B2:D2"/>
    <mergeCell ref="B3:B4"/>
    <mergeCell ref="C3:C4"/>
    <mergeCell ref="D3:D4"/>
    <mergeCell ref="B5:B6"/>
    <mergeCell ref="C5:C6"/>
    <mergeCell ref="D5:D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>
    <oddHeader>&amp;L&amp;"-,太字"&amp;12離婚給付契約公正証書の作成にかかる必要書類</oddHeader>
    <oddFooter>&amp;L&amp;"-,太字"&amp;12行政書士　東京中央法務オフィス　／　弁護士法人法律会計事務所さくらパートナーズ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L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bestFit="1" customWidth="1"/>
    <col min="2" max="2" width="9.7109375" style="0" bestFit="1" customWidth="1"/>
    <col min="3" max="3" width="11.00390625" style="0" bestFit="1" customWidth="1"/>
    <col min="4" max="4" width="5.7109375" style="0" bestFit="1" customWidth="1"/>
    <col min="5" max="5" width="15.140625" style="0" bestFit="1" customWidth="1"/>
    <col min="6" max="6" width="2.421875" style="0" bestFit="1" customWidth="1"/>
    <col min="7" max="7" width="7.8515625" style="0" bestFit="1" customWidth="1"/>
    <col min="8" max="8" width="13.57421875" style="0" bestFit="1" customWidth="1"/>
    <col min="9" max="9" width="9.8515625" style="0" bestFit="1" customWidth="1"/>
    <col min="10" max="10" width="5.28125" style="0" bestFit="1" customWidth="1"/>
    <col min="11" max="11" width="6.421875" style="0" bestFit="1" customWidth="1"/>
    <col min="12" max="12" width="15.7109375" style="0" bestFit="1" customWidth="1"/>
    <col min="13" max="13" width="2.421875" style="0" bestFit="1" customWidth="1"/>
    <col min="14" max="14" width="7.57421875" style="0" customWidth="1"/>
  </cols>
  <sheetData>
    <row r="2" spans="2:12" ht="13.5">
      <c r="B2" s="446" t="s">
        <v>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2:12" ht="14.25" customHeight="1" thickBot="1"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2:12" ht="13.5" customHeight="1">
      <c r="B4" s="448" t="s">
        <v>1</v>
      </c>
      <c r="C4" s="449"/>
      <c r="D4" s="449"/>
      <c r="E4" s="449"/>
      <c r="F4" s="449"/>
      <c r="G4" s="449"/>
      <c r="H4" s="449"/>
      <c r="I4" s="449"/>
      <c r="J4" s="449"/>
      <c r="K4" s="449"/>
      <c r="L4" s="450"/>
    </row>
    <row r="5" spans="2:12" ht="14.25" customHeight="1" thickBot="1"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3"/>
    </row>
    <row r="7" spans="2:5" ht="13.5">
      <c r="B7" s="1" t="s">
        <v>2</v>
      </c>
      <c r="C7" s="2" t="s">
        <v>3</v>
      </c>
      <c r="D7" s="2" t="s">
        <v>4</v>
      </c>
      <c r="E7" s="2" t="s">
        <v>5</v>
      </c>
    </row>
    <row r="8" spans="3:7" ht="13.5">
      <c r="C8" s="3"/>
      <c r="D8" s="3"/>
      <c r="E8" s="4">
        <f>IF(C8="","",C8*IF(D8&gt;120,120,D8))</f>
      </c>
      <c r="G8" s="127" t="s">
        <v>315</v>
      </c>
    </row>
    <row r="9" spans="3:5" ht="13.5">
      <c r="C9" s="3"/>
      <c r="D9" s="3"/>
      <c r="E9" s="4">
        <f>IF(C9="","",C9*D9)</f>
      </c>
    </row>
    <row r="10" spans="3:5" ht="13.5">
      <c r="C10" s="3"/>
      <c r="D10" s="3"/>
      <c r="E10" s="4">
        <f>IF(C10="","",C10*D10)</f>
      </c>
    </row>
    <row r="11" spans="3:5" ht="13.5">
      <c r="C11" s="3"/>
      <c r="D11" s="3"/>
      <c r="E11" s="4">
        <f>IF(C11="","",C11*D11)</f>
      </c>
    </row>
    <row r="12" spans="3:5" ht="14.25" thickBot="1">
      <c r="C12" s="3"/>
      <c r="D12" s="3"/>
      <c r="E12" s="4">
        <f>IF(C12="","",C12*D12)</f>
      </c>
    </row>
    <row r="13" ht="14.25" thickBot="1">
      <c r="E13" s="5">
        <f>SUM(E8:E12)</f>
        <v>0</v>
      </c>
    </row>
    <row r="14" ht="14.25" thickBot="1"/>
    <row r="15" spans="2:12" ht="14.25" thickBot="1">
      <c r="B15" s="1" t="s">
        <v>6</v>
      </c>
      <c r="C15" s="6" t="s">
        <v>7</v>
      </c>
      <c r="D15" s="7">
        <f>IF(C15="あり",1,0)</f>
        <v>0</v>
      </c>
      <c r="E15" s="8">
        <f>IF(C15="あり",5000000*D15,0)</f>
        <v>0</v>
      </c>
      <c r="J15" s="454" t="s">
        <v>8</v>
      </c>
      <c r="K15" s="455"/>
      <c r="L15" s="5">
        <f>E13+E15</f>
        <v>0</v>
      </c>
    </row>
    <row r="16" spans="10:12" ht="14.25" thickBot="1">
      <c r="J16" s="454" t="s">
        <v>9</v>
      </c>
      <c r="K16" s="454"/>
      <c r="L16" s="5">
        <f>IF(L15=0,0,IF(L15&gt;'手数料'!$E$4,IF(L15&gt;'手数料'!$E$5,IF(L15&gt;'手数料'!$E$8,IF(L15&gt;'手数料'!$E$13,IF(L15&gt;'手数料'!$E$33,IF(L15&gt;'手数料'!$E$53,'手数料'!$F$54,'手数料'!$F$53),'手数料'!$F$33),'手数料'!$F$13),'手数料'!$F$8),'手数料'!$F$5),'手数料'!$F$4))</f>
        <v>0</v>
      </c>
    </row>
    <row r="18" spans="2:12" ht="14.25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20" spans="2:5" ht="13.5">
      <c r="B20" s="1" t="s">
        <v>10</v>
      </c>
      <c r="C20" s="2" t="s">
        <v>3</v>
      </c>
      <c r="D20" s="2" t="s">
        <v>4</v>
      </c>
      <c r="E20" s="2" t="s">
        <v>5</v>
      </c>
    </row>
    <row r="21" spans="3:5" ht="13.5">
      <c r="C21" s="3">
        <v>0</v>
      </c>
      <c r="D21" s="3">
        <v>1</v>
      </c>
      <c r="E21" s="4">
        <f>IF(C21="","",C21*D21)</f>
        <v>0</v>
      </c>
    </row>
    <row r="22" spans="3:5" ht="14.25" thickBot="1">
      <c r="C22" s="3"/>
      <c r="D22" s="3"/>
      <c r="E22" s="10"/>
    </row>
    <row r="23" spans="3:5" ht="14.25" thickBot="1">
      <c r="C23" s="11"/>
      <c r="D23" s="11"/>
      <c r="E23" s="5">
        <f>SUM(E21:E22)</f>
        <v>0</v>
      </c>
    </row>
    <row r="25" spans="2:12" ht="13.5">
      <c r="B25" s="1" t="s">
        <v>11</v>
      </c>
      <c r="C25" s="2" t="s">
        <v>3</v>
      </c>
      <c r="D25" s="2" t="s">
        <v>4</v>
      </c>
      <c r="E25" s="2" t="s">
        <v>5</v>
      </c>
      <c r="G25" s="1" t="s">
        <v>12</v>
      </c>
      <c r="H25" s="2" t="s">
        <v>13</v>
      </c>
      <c r="I25" s="456" t="s">
        <v>14</v>
      </c>
      <c r="J25" s="456"/>
      <c r="K25" s="456"/>
      <c r="L25" s="2" t="s">
        <v>8</v>
      </c>
    </row>
    <row r="26" spans="2:12" ht="13.5">
      <c r="B26" s="173"/>
      <c r="C26" s="3"/>
      <c r="D26" s="3"/>
      <c r="E26" s="4">
        <f>IF(C26="","",C26*D26)</f>
      </c>
      <c r="H26" s="3"/>
      <c r="I26" s="3"/>
      <c r="J26" s="12" t="s">
        <v>15</v>
      </c>
      <c r="K26" s="3">
        <v>1</v>
      </c>
      <c r="L26" s="4">
        <f>IF(H26=0,0,IF(OR(I26=0,K26=0),0,H26*K26/I26))</f>
        <v>0</v>
      </c>
    </row>
    <row r="27" spans="2:12" ht="13.5">
      <c r="B27" s="173"/>
      <c r="C27" s="3"/>
      <c r="D27" s="3"/>
      <c r="E27" s="4">
        <f>IF(C27="","",C27*D27)</f>
      </c>
      <c r="H27" s="3"/>
      <c r="I27" s="3"/>
      <c r="J27" s="12" t="s">
        <v>15</v>
      </c>
      <c r="K27" s="3">
        <v>1</v>
      </c>
      <c r="L27" s="4">
        <f>IF(H27=0,0,IF(OR(I27=0,K27=0),0,H27*K27/I27))</f>
        <v>0</v>
      </c>
    </row>
    <row r="28" spans="2:12" ht="13.5">
      <c r="B28" s="173"/>
      <c r="C28" s="3"/>
      <c r="D28" s="3"/>
      <c r="E28" s="4">
        <f>IF(C28="","",C28*D28)</f>
      </c>
      <c r="H28" s="3"/>
      <c r="I28" s="3"/>
      <c r="J28" s="12" t="s">
        <v>15</v>
      </c>
      <c r="K28" s="3">
        <v>1</v>
      </c>
      <c r="L28" s="4">
        <f>IF(H28=0,0,IF(OR(I28=0,K28=0),0,H28*K28/I28))</f>
        <v>0</v>
      </c>
    </row>
    <row r="29" spans="2:12" ht="13.5">
      <c r="B29" s="173"/>
      <c r="C29" s="3"/>
      <c r="D29" s="3"/>
      <c r="E29" s="4">
        <f>IF(C29="","",C29*D29)</f>
      </c>
      <c r="H29" s="3"/>
      <c r="I29" s="3"/>
      <c r="J29" s="12" t="s">
        <v>15</v>
      </c>
      <c r="K29" s="3">
        <v>1</v>
      </c>
      <c r="L29" s="4">
        <f>IF(H29=0,0,IF(OR(I29=0,K29=0),0,H29*K29/I29))</f>
        <v>0</v>
      </c>
    </row>
    <row r="30" spans="2:12" ht="14.25" thickBot="1">
      <c r="B30" s="77"/>
      <c r="C30" s="3"/>
      <c r="D30" s="3"/>
      <c r="E30" s="4">
        <f>IF(C30="","",C30*D30)</f>
      </c>
      <c r="H30" s="3"/>
      <c r="I30" s="3"/>
      <c r="J30" s="12" t="s">
        <v>15</v>
      </c>
      <c r="K30" s="3">
        <v>1</v>
      </c>
      <c r="L30" s="4">
        <f>IF(H30=0,0,IF(OR(I30=0,K30=0),0,H30*K30/I30))</f>
        <v>0</v>
      </c>
    </row>
    <row r="31" spans="5:12" ht="14.25" thickBot="1">
      <c r="E31" s="5">
        <f>SUM(E26:E30)</f>
        <v>0</v>
      </c>
      <c r="L31" s="5">
        <f>SUM(L26:L30)</f>
        <v>0</v>
      </c>
    </row>
    <row r="32" ht="14.25" thickBot="1"/>
    <row r="33" spans="2:12" ht="14.25" thickBot="1">
      <c r="B33" s="1" t="s">
        <v>6</v>
      </c>
      <c r="C33" s="6" t="s">
        <v>7</v>
      </c>
      <c r="D33" s="7">
        <f>IF(C33="あり",1,0)</f>
        <v>0</v>
      </c>
      <c r="E33" s="8">
        <f>IF(C33="あり",5000000*D33,0)</f>
        <v>0</v>
      </c>
      <c r="J33" s="454" t="s">
        <v>8</v>
      </c>
      <c r="K33" s="455"/>
      <c r="L33" s="5">
        <f>E23+E31+E33+L31</f>
        <v>0</v>
      </c>
    </row>
    <row r="34" spans="10:12" ht="14.25" thickBot="1">
      <c r="J34" s="454" t="s">
        <v>9</v>
      </c>
      <c r="K34" s="454"/>
      <c r="L34" s="5">
        <f>IF(L33=0,0,IF(L33&gt;'手数料'!$E$4,IF(L33&gt;'手数料'!$E$5,IF(L33&gt;'手数料'!$E$8,IF(L33&gt;'手数料'!$E$13,IF(L33&gt;'手数料'!$E$33,IF(L33&gt;'手数料'!$E$53,'手数料'!$F$54,'手数料'!$F$53),'手数料'!$F$33),'手数料'!$F$13),'手数料'!$F$8),'手数料'!$F$5),'手数料'!$F$4))</f>
        <v>0</v>
      </c>
    </row>
    <row r="35" ht="14.25" thickBot="1"/>
    <row r="36" spans="2:12" ht="14.25" thickBot="1">
      <c r="B36" s="1" t="s">
        <v>16</v>
      </c>
      <c r="C36" s="6" t="s">
        <v>7</v>
      </c>
      <c r="D36" s="7">
        <f>IF(C36="あり",1,0)</f>
        <v>0</v>
      </c>
      <c r="E36" s="8">
        <f>IF(C36="あり",5000000*D36,0)</f>
        <v>0</v>
      </c>
      <c r="J36" s="454" t="s">
        <v>9</v>
      </c>
      <c r="K36" s="454"/>
      <c r="L36" s="5">
        <f>IF(D36=0,0,11000)</f>
        <v>0</v>
      </c>
    </row>
    <row r="38" spans="2:12" ht="14.25" thickBo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41" spans="2:5" ht="17.25">
      <c r="B41" s="457" t="s">
        <v>396</v>
      </c>
      <c r="C41" s="182" t="s">
        <v>2</v>
      </c>
      <c r="D41" s="460">
        <f>L16</f>
        <v>0</v>
      </c>
      <c r="E41" s="460"/>
    </row>
    <row r="42" spans="2:5" ht="17.25">
      <c r="B42" s="458"/>
      <c r="C42" s="182" t="s">
        <v>11</v>
      </c>
      <c r="D42" s="460">
        <f>L34</f>
        <v>0</v>
      </c>
      <c r="E42" s="460"/>
    </row>
    <row r="43" spans="2:5" ht="17.25">
      <c r="B43" s="459"/>
      <c r="C43" s="182" t="s">
        <v>16</v>
      </c>
      <c r="D43" s="460">
        <f>L36</f>
        <v>0</v>
      </c>
      <c r="E43" s="460"/>
    </row>
    <row r="44" spans="2:5" ht="17.25">
      <c r="B44" s="464" t="s">
        <v>395</v>
      </c>
      <c r="C44" s="464"/>
      <c r="D44" s="460">
        <f>IF(SUM(D41:E43)=0,0,4000+IF(D36=1,4000,0)+IF(C36="あり",2000,0)+IF(C28&lt;&gt;0,2000,0)+IF(H26&lt;&gt;0,2000,0))</f>
        <v>0</v>
      </c>
      <c r="E44" s="460"/>
    </row>
    <row r="45" spans="2:8" ht="17.25">
      <c r="B45" s="464" t="s">
        <v>17</v>
      </c>
      <c r="C45" s="464"/>
      <c r="D45" s="460">
        <f>IF(D44=0,0,2775*G45)</f>
        <v>0</v>
      </c>
      <c r="E45" s="460"/>
      <c r="G45" s="13">
        <v>1</v>
      </c>
      <c r="H45" s="14"/>
    </row>
    <row r="47" spans="2:5" ht="21">
      <c r="B47" s="463" t="s">
        <v>18</v>
      </c>
      <c r="C47" s="463"/>
      <c r="D47" s="462">
        <f>SUM(D41:D45)</f>
        <v>0</v>
      </c>
      <c r="E47" s="462"/>
    </row>
    <row r="49" spans="2:12" ht="14.25" thickBo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1" spans="2:5" ht="21">
      <c r="B51" s="461" t="s">
        <v>324</v>
      </c>
      <c r="C51" s="461"/>
      <c r="D51" s="462">
        <f>IF(OR(L36&lt;&gt;0,COUNTA(C8:C12)&gt;2),77000,55000)</f>
        <v>55000</v>
      </c>
      <c r="E51" s="462"/>
    </row>
    <row r="53" spans="2:12" ht="14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5" spans="2:5" ht="21">
      <c r="B55" s="463" t="s">
        <v>18</v>
      </c>
      <c r="C55" s="463"/>
      <c r="D55" s="462">
        <f>D47+D51</f>
        <v>55000</v>
      </c>
      <c r="E55" s="462"/>
    </row>
  </sheetData>
  <sheetProtection/>
  <mergeCells count="22">
    <mergeCell ref="B2:L3"/>
    <mergeCell ref="B4:L5"/>
    <mergeCell ref="J15:K15"/>
    <mergeCell ref="J16:K16"/>
    <mergeCell ref="I25:K25"/>
    <mergeCell ref="J33:K33"/>
    <mergeCell ref="J34:K34"/>
    <mergeCell ref="J36:K36"/>
    <mergeCell ref="D41:E41"/>
    <mergeCell ref="D42:E42"/>
    <mergeCell ref="B41:B43"/>
    <mergeCell ref="D43:E43"/>
    <mergeCell ref="B55:C55"/>
    <mergeCell ref="D55:E55"/>
    <mergeCell ref="B47:C47"/>
    <mergeCell ref="D47:E47"/>
    <mergeCell ref="B44:C44"/>
    <mergeCell ref="D44:E44"/>
    <mergeCell ref="B45:C45"/>
    <mergeCell ref="D45:E45"/>
    <mergeCell ref="B51:C51"/>
    <mergeCell ref="D51:E51"/>
  </mergeCells>
  <dataValidations count="1">
    <dataValidation type="list" allowBlank="1" showInputMessage="1" showErrorMessage="1" sqref="C33 C15 C36">
      <formula1>"あり,なし"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workbookViewId="0" topLeftCell="A1">
      <selection activeCell="A1" sqref="A1"/>
    </sheetView>
  </sheetViews>
  <sheetFormatPr defaultColWidth="9.140625" defaultRowHeight="15"/>
  <cols>
    <col min="1" max="1" width="2.421875" style="0" bestFit="1" customWidth="1"/>
    <col min="2" max="2" width="23.421875" style="0" hidden="1" customWidth="1"/>
    <col min="3" max="3" width="21.421875" style="0" hidden="1" customWidth="1"/>
    <col min="4" max="4" width="0" style="0" hidden="1" customWidth="1"/>
    <col min="5" max="5" width="17.421875" style="0" bestFit="1" customWidth="1"/>
    <col min="6" max="6" width="13.28125" style="0" bestFit="1" customWidth="1"/>
    <col min="7" max="7" width="12.57421875" style="0" bestFit="1" customWidth="1"/>
    <col min="8" max="8" width="2.7109375" style="0" customWidth="1"/>
    <col min="9" max="9" width="7.00390625" style="0" customWidth="1"/>
    <col min="10" max="15" width="9.140625" style="0" customWidth="1"/>
    <col min="16" max="16" width="10.00390625" style="0" customWidth="1"/>
    <col min="17" max="17" width="2.421875" style="0" bestFit="1" customWidth="1"/>
  </cols>
  <sheetData>
    <row r="1" spans="5:17" ht="29.25" thickBot="1">
      <c r="E1" s="526" t="s">
        <v>372</v>
      </c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8"/>
      <c r="Q1" s="154"/>
    </row>
    <row r="2" spans="1:17" ht="15" thickBot="1">
      <c r="A2" s="154"/>
      <c r="B2" s="519" t="s">
        <v>354</v>
      </c>
      <c r="C2" s="52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5" thickBot="1">
      <c r="A3" s="154"/>
      <c r="B3" s="155" t="s">
        <v>41</v>
      </c>
      <c r="C3" s="156"/>
      <c r="E3" s="521" t="str">
        <f>B2</f>
        <v>【法律行為に係る証書作成の手数料】</v>
      </c>
      <c r="F3" s="522"/>
      <c r="G3" s="523"/>
      <c r="H3" s="154"/>
      <c r="I3" s="185" t="s">
        <v>355</v>
      </c>
      <c r="J3" s="529" t="s">
        <v>356</v>
      </c>
      <c r="K3" s="529"/>
      <c r="L3" s="529"/>
      <c r="M3" s="529"/>
      <c r="N3" s="529"/>
      <c r="O3" s="529"/>
      <c r="P3" s="530"/>
      <c r="Q3" s="154"/>
    </row>
    <row r="4" spans="1:17" ht="15" thickBot="1">
      <c r="A4" s="154"/>
      <c r="B4" s="158"/>
      <c r="C4" s="159">
        <v>1000000</v>
      </c>
      <c r="E4" s="524" t="str">
        <f>B3</f>
        <v>（目的の価額）</v>
      </c>
      <c r="F4" s="525"/>
      <c r="G4" s="157" t="s">
        <v>42</v>
      </c>
      <c r="H4" s="154"/>
      <c r="I4" s="186"/>
      <c r="J4" s="508" t="s">
        <v>357</v>
      </c>
      <c r="K4" s="508"/>
      <c r="L4" s="508"/>
      <c r="M4" s="508"/>
      <c r="N4" s="508"/>
      <c r="O4" s="508"/>
      <c r="P4" s="509"/>
      <c r="Q4" s="154"/>
    </row>
    <row r="5" spans="1:17" ht="15" thickBot="1">
      <c r="A5" s="154"/>
      <c r="B5" s="163">
        <f aca="true" t="shared" si="0" ref="B5:B19">C4</f>
        <v>1000000</v>
      </c>
      <c r="C5" s="164">
        <v>2000000</v>
      </c>
      <c r="E5" s="160"/>
      <c r="F5" s="161" t="str">
        <f>IF(C4&lt;10000000,C4/1000000&amp;"百万円以下",IF(C4&lt;100000000,C4/10000000&amp;"千万円以下",C4/100000000&amp;"億円以下"))</f>
        <v>1百万円以下</v>
      </c>
      <c r="G5" s="162">
        <v>5000</v>
      </c>
      <c r="H5" s="154"/>
      <c r="I5" s="187"/>
      <c r="J5" s="516" t="s">
        <v>358</v>
      </c>
      <c r="K5" s="516"/>
      <c r="L5" s="516"/>
      <c r="M5" s="516"/>
      <c r="N5" s="516"/>
      <c r="O5" s="516"/>
      <c r="P5" s="517"/>
      <c r="Q5" s="154"/>
    </row>
    <row r="6" spans="1:17" ht="15" thickBot="1">
      <c r="A6" s="154"/>
      <c r="B6" s="163">
        <f t="shared" si="0"/>
        <v>2000000</v>
      </c>
      <c r="C6" s="164">
        <v>5000000</v>
      </c>
      <c r="E6" s="160" t="str">
        <f>IF(B5&gt;99999999,B5/100000000&amp;"億円を超え",IF(B5&gt;9999999,B5/10000000&amp;"千万円を超え",B5/1000000&amp;"百万円を超え"))</f>
        <v>1百万円を超え</v>
      </c>
      <c r="F6" s="161" t="str">
        <f aca="true" t="shared" si="1" ref="F6:F19">IF(C5&lt;10000000,C5/1000000&amp;"百万円以下",IF(C5&lt;100000000,C5/10000000&amp;"千万円以下",C5/100000000&amp;"億円以下"))</f>
        <v>2百万円以下</v>
      </c>
      <c r="G6" s="165">
        <v>7000</v>
      </c>
      <c r="H6" s="154"/>
      <c r="I6" s="188" t="s">
        <v>359</v>
      </c>
      <c r="J6" s="506" t="s">
        <v>360</v>
      </c>
      <c r="K6" s="506"/>
      <c r="L6" s="506"/>
      <c r="M6" s="506"/>
      <c r="N6" s="506"/>
      <c r="O6" s="506"/>
      <c r="P6" s="507"/>
      <c r="Q6" s="154"/>
    </row>
    <row r="7" spans="1:17" ht="15" thickBot="1">
      <c r="A7" s="154"/>
      <c r="B7" s="163">
        <f t="shared" si="0"/>
        <v>5000000</v>
      </c>
      <c r="C7" s="164">
        <v>10000000</v>
      </c>
      <c r="E7" s="160" t="str">
        <f aca="true" t="shared" si="2" ref="E7:E19">IF(B6&gt;99999999,B6/100000000&amp;"億円を超え",IF(B6&gt;9999999,B6/10000000&amp;"千万円を超え",B6/1000000&amp;"百万円を超え"))</f>
        <v>2百万円を超え</v>
      </c>
      <c r="F7" s="161" t="str">
        <f t="shared" si="1"/>
        <v>5百万円以下</v>
      </c>
      <c r="G7" s="165">
        <v>11000</v>
      </c>
      <c r="H7" s="154"/>
      <c r="I7" s="186"/>
      <c r="J7" s="512" t="s">
        <v>403</v>
      </c>
      <c r="K7" s="512"/>
      <c r="L7" s="512"/>
      <c r="M7" s="512"/>
      <c r="N7" s="512"/>
      <c r="O7" s="512"/>
      <c r="P7" s="513"/>
      <c r="Q7" s="154"/>
    </row>
    <row r="8" spans="1:17" ht="15" thickBot="1">
      <c r="A8" s="154"/>
      <c r="B8" s="163">
        <f t="shared" si="0"/>
        <v>10000000</v>
      </c>
      <c r="C8" s="164">
        <v>30000000</v>
      </c>
      <c r="E8" s="160" t="str">
        <f t="shared" si="2"/>
        <v>5百万円を超え</v>
      </c>
      <c r="F8" s="161" t="str">
        <f t="shared" si="1"/>
        <v>1千万円以下</v>
      </c>
      <c r="G8" s="165">
        <v>17000</v>
      </c>
      <c r="H8" s="154"/>
      <c r="I8" s="187"/>
      <c r="J8" s="514" t="s">
        <v>374</v>
      </c>
      <c r="K8" s="514"/>
      <c r="L8" s="514"/>
      <c r="M8" s="514"/>
      <c r="N8" s="514"/>
      <c r="O8" s="514"/>
      <c r="P8" s="515"/>
      <c r="Q8" s="154"/>
    </row>
    <row r="9" spans="1:17" ht="15" thickBot="1">
      <c r="A9" s="154"/>
      <c r="B9" s="163">
        <f t="shared" si="0"/>
        <v>30000000</v>
      </c>
      <c r="C9" s="164">
        <v>50000000</v>
      </c>
      <c r="E9" s="160" t="str">
        <f t="shared" si="2"/>
        <v>1千万円を超え</v>
      </c>
      <c r="F9" s="161" t="str">
        <f t="shared" si="1"/>
        <v>3千万円以下</v>
      </c>
      <c r="G9" s="165">
        <v>23000</v>
      </c>
      <c r="H9" s="154"/>
      <c r="I9" s="188" t="s">
        <v>361</v>
      </c>
      <c r="J9" s="506" t="s">
        <v>362</v>
      </c>
      <c r="K9" s="506"/>
      <c r="L9" s="506"/>
      <c r="M9" s="506"/>
      <c r="N9" s="506"/>
      <c r="O9" s="506"/>
      <c r="P9" s="507"/>
      <c r="Q9" s="154"/>
    </row>
    <row r="10" spans="1:17" ht="15" thickBot="1">
      <c r="A10" s="154"/>
      <c r="B10" s="163">
        <f t="shared" si="0"/>
        <v>50000000</v>
      </c>
      <c r="C10" s="164">
        <v>100000000</v>
      </c>
      <c r="E10" s="160" t="str">
        <f t="shared" si="2"/>
        <v>3千万円を超え</v>
      </c>
      <c r="F10" s="161" t="str">
        <f t="shared" si="1"/>
        <v>5千万円以下</v>
      </c>
      <c r="G10" s="165">
        <v>29000</v>
      </c>
      <c r="H10" s="154"/>
      <c r="I10" s="186"/>
      <c r="J10" s="512" t="s">
        <v>375</v>
      </c>
      <c r="K10" s="512"/>
      <c r="L10" s="512"/>
      <c r="M10" s="512"/>
      <c r="N10" s="512"/>
      <c r="O10" s="512"/>
      <c r="P10" s="513"/>
      <c r="Q10" s="154"/>
    </row>
    <row r="11" spans="1:17" ht="15" thickBot="1">
      <c r="A11" s="154"/>
      <c r="B11" s="163">
        <f t="shared" si="0"/>
        <v>100000000</v>
      </c>
      <c r="C11" s="164">
        <v>150000000</v>
      </c>
      <c r="E11" s="160" t="str">
        <f t="shared" si="2"/>
        <v>5千万円を超え</v>
      </c>
      <c r="F11" s="161" t="str">
        <f t="shared" si="1"/>
        <v>1億円以下</v>
      </c>
      <c r="G11" s="165">
        <v>43000</v>
      </c>
      <c r="H11" s="154"/>
      <c r="I11" s="187"/>
      <c r="J11" s="189"/>
      <c r="K11" s="189"/>
      <c r="L11" s="189"/>
      <c r="M11" s="189"/>
      <c r="N11" s="189"/>
      <c r="O11" s="189"/>
      <c r="P11" s="190"/>
      <c r="Q11" s="154"/>
    </row>
    <row r="12" spans="1:17" ht="15" thickBot="1">
      <c r="A12" s="154"/>
      <c r="B12" s="163">
        <f t="shared" si="0"/>
        <v>150000000</v>
      </c>
      <c r="C12" s="164">
        <v>200000000</v>
      </c>
      <c r="E12" s="160" t="str">
        <f t="shared" si="2"/>
        <v>1億円を超え</v>
      </c>
      <c r="F12" s="161" t="str">
        <f t="shared" si="1"/>
        <v>1.5億円以下</v>
      </c>
      <c r="G12" s="165">
        <f>G11+13000</f>
        <v>56000</v>
      </c>
      <c r="H12" s="154"/>
      <c r="I12" s="188" t="s">
        <v>363</v>
      </c>
      <c r="J12" s="506" t="s">
        <v>364</v>
      </c>
      <c r="K12" s="506"/>
      <c r="L12" s="506"/>
      <c r="M12" s="506"/>
      <c r="N12" s="506"/>
      <c r="O12" s="506"/>
      <c r="P12" s="507"/>
      <c r="Q12" s="154"/>
    </row>
    <row r="13" spans="1:17" ht="15" thickBot="1">
      <c r="A13" s="154"/>
      <c r="B13" s="163">
        <f t="shared" si="0"/>
        <v>200000000</v>
      </c>
      <c r="C13" s="164">
        <v>250000000</v>
      </c>
      <c r="E13" s="160" t="str">
        <f t="shared" si="2"/>
        <v>1.5億円を超え</v>
      </c>
      <c r="F13" s="161" t="str">
        <f t="shared" si="1"/>
        <v>2億円以下</v>
      </c>
      <c r="G13" s="165">
        <f>G12+13000</f>
        <v>69000</v>
      </c>
      <c r="H13" s="154"/>
      <c r="I13" s="186"/>
      <c r="J13" s="508" t="s">
        <v>365</v>
      </c>
      <c r="K13" s="508"/>
      <c r="L13" s="508"/>
      <c r="M13" s="508"/>
      <c r="N13" s="508"/>
      <c r="O13" s="508"/>
      <c r="P13" s="509"/>
      <c r="Q13" s="154"/>
    </row>
    <row r="14" spans="1:17" ht="15" thickBot="1">
      <c r="A14" s="154"/>
      <c r="B14" s="163">
        <f t="shared" si="0"/>
        <v>250000000</v>
      </c>
      <c r="C14" s="164">
        <v>300000000</v>
      </c>
      <c r="E14" s="160" t="str">
        <f t="shared" si="2"/>
        <v>2億円を超え</v>
      </c>
      <c r="F14" s="161" t="str">
        <f t="shared" si="1"/>
        <v>2.5億円以下</v>
      </c>
      <c r="G14" s="165">
        <f>G13+13000</f>
        <v>82000</v>
      </c>
      <c r="H14" s="154"/>
      <c r="I14" s="187"/>
      <c r="J14" s="516" t="s">
        <v>366</v>
      </c>
      <c r="K14" s="516"/>
      <c r="L14" s="516"/>
      <c r="M14" s="516"/>
      <c r="N14" s="516"/>
      <c r="O14" s="516"/>
      <c r="P14" s="517"/>
      <c r="Q14" s="154"/>
    </row>
    <row r="15" spans="1:17" ht="15" thickBot="1">
      <c r="A15" s="154"/>
      <c r="B15" s="163">
        <f t="shared" si="0"/>
        <v>300000000</v>
      </c>
      <c r="C15" s="164">
        <v>350000000</v>
      </c>
      <c r="E15" s="160" t="str">
        <f t="shared" si="2"/>
        <v>2.5億円を超え</v>
      </c>
      <c r="F15" s="161" t="str">
        <f t="shared" si="1"/>
        <v>3億円以下</v>
      </c>
      <c r="G15" s="165">
        <f>G14+13000</f>
        <v>95000</v>
      </c>
      <c r="H15" s="154"/>
      <c r="I15" s="188" t="s">
        <v>367</v>
      </c>
      <c r="J15" s="506" t="s">
        <v>368</v>
      </c>
      <c r="K15" s="506"/>
      <c r="L15" s="506"/>
      <c r="M15" s="506"/>
      <c r="N15" s="506"/>
      <c r="O15" s="506"/>
      <c r="P15" s="507"/>
      <c r="Q15" s="154"/>
    </row>
    <row r="16" spans="1:17" ht="15" thickBot="1">
      <c r="A16" s="154"/>
      <c r="B16" s="163">
        <f t="shared" si="0"/>
        <v>350000000</v>
      </c>
      <c r="C16" s="164">
        <v>400000000</v>
      </c>
      <c r="E16" s="160" t="str">
        <f t="shared" si="2"/>
        <v>3億円を超え</v>
      </c>
      <c r="F16" s="161" t="str">
        <f t="shared" si="1"/>
        <v>3.5億円以下</v>
      </c>
      <c r="G16" s="165">
        <f>G15+11000</f>
        <v>106000</v>
      </c>
      <c r="H16" s="154"/>
      <c r="I16" s="186"/>
      <c r="J16" s="508" t="s">
        <v>402</v>
      </c>
      <c r="K16" s="508"/>
      <c r="L16" s="508"/>
      <c r="M16" s="508"/>
      <c r="N16" s="508"/>
      <c r="O16" s="508"/>
      <c r="P16" s="509"/>
      <c r="Q16" s="154"/>
    </row>
    <row r="17" spans="1:17" ht="15" thickBot="1">
      <c r="A17" s="154"/>
      <c r="B17" s="163">
        <f t="shared" si="0"/>
        <v>400000000</v>
      </c>
      <c r="C17" s="164">
        <v>450000000</v>
      </c>
      <c r="E17" s="160" t="str">
        <f t="shared" si="2"/>
        <v>3.5億円を超え</v>
      </c>
      <c r="F17" s="161" t="str">
        <f t="shared" si="1"/>
        <v>4億円以下</v>
      </c>
      <c r="G17" s="165">
        <f>G16+11000</f>
        <v>117000</v>
      </c>
      <c r="H17" s="154"/>
      <c r="I17" s="191"/>
      <c r="J17" s="510" t="s">
        <v>369</v>
      </c>
      <c r="K17" s="510"/>
      <c r="L17" s="510"/>
      <c r="M17" s="510"/>
      <c r="N17" s="510"/>
      <c r="O17" s="510"/>
      <c r="P17" s="511"/>
      <c r="Q17" s="154"/>
    </row>
    <row r="18" spans="1:17" ht="15" thickBot="1">
      <c r="A18" s="154"/>
      <c r="B18" s="168">
        <f t="shared" si="0"/>
        <v>450000000</v>
      </c>
      <c r="C18" s="169">
        <v>500000000</v>
      </c>
      <c r="E18" s="160" t="str">
        <f t="shared" si="2"/>
        <v>4億円を超え</v>
      </c>
      <c r="F18" s="161" t="str">
        <f t="shared" si="1"/>
        <v>4.5億円以下</v>
      </c>
      <c r="G18" s="165">
        <f>G17+11000</f>
        <v>128000</v>
      </c>
      <c r="H18" s="154"/>
      <c r="I18" s="166"/>
      <c r="J18" s="166"/>
      <c r="K18" s="166"/>
      <c r="L18" s="166"/>
      <c r="M18" s="166"/>
      <c r="N18" s="166"/>
      <c r="O18" s="166"/>
      <c r="P18" s="167"/>
      <c r="Q18" s="154"/>
    </row>
    <row r="19" spans="1:17" ht="15" thickBot="1">
      <c r="A19" s="154"/>
      <c r="B19" s="163">
        <f t="shared" si="0"/>
        <v>500000000</v>
      </c>
      <c r="C19" s="164">
        <v>550000000</v>
      </c>
      <c r="E19" s="170" t="str">
        <f t="shared" si="2"/>
        <v>4.5億円を超え</v>
      </c>
      <c r="F19" s="171" t="str">
        <f t="shared" si="1"/>
        <v>5億円以下</v>
      </c>
      <c r="G19" s="172">
        <f>G18+11000</f>
        <v>139000</v>
      </c>
      <c r="H19" s="154"/>
      <c r="I19" s="480" t="s">
        <v>376</v>
      </c>
      <c r="J19" s="481"/>
      <c r="K19" s="481"/>
      <c r="L19" s="481"/>
      <c r="M19" s="481"/>
      <c r="N19" s="481"/>
      <c r="O19" s="481"/>
      <c r="P19" s="482"/>
      <c r="Q19" s="154"/>
    </row>
    <row r="20" spans="1:17" ht="15" thickBot="1">
      <c r="A20" s="154"/>
      <c r="E20" s="170" t="str">
        <f>IF(B19&gt;99999999,B19/100000000&amp;"億円を超え",IF(B19&gt;9999999,B19/10000000&amp;"千万円を超え",B19/1000000&amp;"百万円を超え"))</f>
        <v>5億円を超え</v>
      </c>
      <c r="F20" s="171" t="str">
        <f>IF(C19&lt;10000000,C19/1000000&amp;"百万円以下",IF(C19&lt;100000000,C19/10000000&amp;"千万円以下",C19/100000000&amp;"億円以下"))</f>
        <v>5.5億円以下</v>
      </c>
      <c r="G20" s="172">
        <f>G19+11000</f>
        <v>150000</v>
      </c>
      <c r="H20" s="154"/>
      <c r="I20" s="483"/>
      <c r="J20" s="484"/>
      <c r="K20" s="484"/>
      <c r="L20" s="484"/>
      <c r="M20" s="484"/>
      <c r="N20" s="484"/>
      <c r="O20" s="484"/>
      <c r="P20" s="485"/>
      <c r="Q20" s="154"/>
    </row>
    <row r="21" spans="1:17" ht="13.5">
      <c r="A21" s="154"/>
      <c r="B21" s="154"/>
      <c r="C21" s="154"/>
      <c r="D21" s="154"/>
      <c r="E21" s="154"/>
      <c r="F21" s="154"/>
      <c r="G21" s="154"/>
      <c r="H21" s="154"/>
      <c r="I21" s="167"/>
      <c r="J21" s="167"/>
      <c r="K21" s="167"/>
      <c r="L21" s="167"/>
      <c r="M21" s="167"/>
      <c r="N21" s="167"/>
      <c r="O21" s="167"/>
      <c r="P21" s="167"/>
      <c r="Q21" s="154"/>
    </row>
    <row r="22" spans="1:17" ht="13.5" customHeight="1">
      <c r="A22" s="154"/>
      <c r="B22" s="154"/>
      <c r="C22" s="154"/>
      <c r="D22" s="154"/>
      <c r="E22" s="154"/>
      <c r="F22" s="492" t="s">
        <v>373</v>
      </c>
      <c r="G22" s="493"/>
      <c r="H22" s="493"/>
      <c r="I22" s="493"/>
      <c r="J22" s="493"/>
      <c r="K22" s="493"/>
      <c r="L22" s="493"/>
      <c r="M22" s="493"/>
      <c r="N22" s="493"/>
      <c r="O22" s="493"/>
      <c r="P22" s="494"/>
      <c r="Q22" s="154"/>
    </row>
    <row r="23" spans="1:17" ht="13.5" customHeight="1">
      <c r="A23" s="154"/>
      <c r="B23" s="154"/>
      <c r="C23" s="154"/>
      <c r="D23" s="154"/>
      <c r="E23" s="154"/>
      <c r="F23" s="495"/>
      <c r="G23" s="496"/>
      <c r="H23" s="496"/>
      <c r="I23" s="496"/>
      <c r="J23" s="496"/>
      <c r="K23" s="496"/>
      <c r="L23" s="496"/>
      <c r="M23" s="496"/>
      <c r="N23" s="496"/>
      <c r="O23" s="496"/>
      <c r="P23" s="497"/>
      <c r="Q23" s="154"/>
    </row>
    <row r="24" spans="1:17" ht="13.5">
      <c r="A24" s="154"/>
      <c r="B24" s="154"/>
      <c r="C24" s="154"/>
      <c r="D24" s="154"/>
      <c r="E24" s="197"/>
      <c r="F24" s="486" t="s">
        <v>370</v>
      </c>
      <c r="G24" s="487"/>
      <c r="H24" s="502" t="s">
        <v>371</v>
      </c>
      <c r="I24" s="502"/>
      <c r="J24" s="502"/>
      <c r="K24" s="502"/>
      <c r="L24" s="502"/>
      <c r="M24" s="502"/>
      <c r="N24" s="502"/>
      <c r="O24" s="502"/>
      <c r="P24" s="502"/>
      <c r="Q24" s="154"/>
    </row>
    <row r="25" spans="1:17" ht="13.5">
      <c r="A25" s="154"/>
      <c r="B25" s="154"/>
      <c r="C25" s="154"/>
      <c r="D25" s="154"/>
      <c r="E25" s="154"/>
      <c r="F25" s="488"/>
      <c r="G25" s="489"/>
      <c r="H25" s="500">
        <v>3</v>
      </c>
      <c r="I25" s="500"/>
      <c r="J25" s="500">
        <v>4</v>
      </c>
      <c r="K25" s="500">
        <v>5</v>
      </c>
      <c r="L25" s="500">
        <v>6</v>
      </c>
      <c r="M25" s="500">
        <v>7</v>
      </c>
      <c r="N25" s="500">
        <v>8</v>
      </c>
      <c r="O25" s="500">
        <v>9</v>
      </c>
      <c r="P25" s="505">
        <v>10</v>
      </c>
      <c r="Q25" s="154"/>
    </row>
    <row r="26" spans="1:17" ht="13.5">
      <c r="A26" s="154"/>
      <c r="B26" s="154"/>
      <c r="C26" s="154"/>
      <c r="D26" s="154"/>
      <c r="E26" s="154"/>
      <c r="F26" s="490"/>
      <c r="G26" s="491"/>
      <c r="H26" s="500"/>
      <c r="I26" s="500"/>
      <c r="J26" s="500"/>
      <c r="K26" s="500"/>
      <c r="L26" s="500"/>
      <c r="M26" s="500"/>
      <c r="N26" s="500"/>
      <c r="O26" s="500"/>
      <c r="P26" s="505"/>
      <c r="Q26" s="154"/>
    </row>
    <row r="27" spans="1:17" ht="13.5">
      <c r="A27" s="154"/>
      <c r="B27" s="154"/>
      <c r="C27" s="154"/>
      <c r="D27" s="154"/>
      <c r="E27" s="154"/>
      <c r="F27" s="478">
        <v>20000</v>
      </c>
      <c r="G27" s="479"/>
      <c r="H27" s="503">
        <v>5000</v>
      </c>
      <c r="I27" s="503"/>
      <c r="J27" s="192">
        <v>5000</v>
      </c>
      <c r="K27" s="193">
        <v>7000</v>
      </c>
      <c r="L27" s="193">
        <v>7000</v>
      </c>
      <c r="M27" s="193">
        <v>7000</v>
      </c>
      <c r="N27" s="193">
        <v>7000</v>
      </c>
      <c r="O27" s="194">
        <v>11000</v>
      </c>
      <c r="P27" s="194">
        <v>11000</v>
      </c>
      <c r="Q27" s="154"/>
    </row>
    <row r="28" spans="1:17" ht="13.5">
      <c r="A28" s="154"/>
      <c r="B28" s="154"/>
      <c r="C28" s="154"/>
      <c r="D28" s="154"/>
      <c r="E28" s="154"/>
      <c r="F28" s="478">
        <v>30000</v>
      </c>
      <c r="G28" s="479"/>
      <c r="H28" s="504">
        <v>7000</v>
      </c>
      <c r="I28" s="504"/>
      <c r="J28" s="193">
        <v>7000</v>
      </c>
      <c r="K28" s="193">
        <v>7000</v>
      </c>
      <c r="L28" s="194">
        <v>11000</v>
      </c>
      <c r="M28" s="194">
        <v>11000</v>
      </c>
      <c r="N28" s="194">
        <v>11000</v>
      </c>
      <c r="O28" s="194">
        <v>11000</v>
      </c>
      <c r="P28" s="194">
        <v>11000</v>
      </c>
      <c r="Q28" s="154"/>
    </row>
    <row r="29" spans="1:17" ht="13.5">
      <c r="A29" s="154"/>
      <c r="B29" s="154"/>
      <c r="C29" s="154"/>
      <c r="D29" s="154"/>
      <c r="E29" s="154"/>
      <c r="F29" s="478">
        <v>40000</v>
      </c>
      <c r="G29" s="479"/>
      <c r="H29" s="504">
        <v>7000</v>
      </c>
      <c r="I29" s="504"/>
      <c r="J29" s="193">
        <v>7000</v>
      </c>
      <c r="K29" s="194">
        <v>11000</v>
      </c>
      <c r="L29" s="194">
        <v>11000</v>
      </c>
      <c r="M29" s="194">
        <v>11000</v>
      </c>
      <c r="N29" s="194">
        <v>11000</v>
      </c>
      <c r="O29" s="194">
        <v>11000</v>
      </c>
      <c r="P29" s="194">
        <v>11000</v>
      </c>
      <c r="Q29" s="154"/>
    </row>
    <row r="30" spans="1:17" ht="13.5">
      <c r="A30" s="154"/>
      <c r="B30" s="154"/>
      <c r="C30" s="154"/>
      <c r="D30" s="154"/>
      <c r="E30" s="154"/>
      <c r="F30" s="478">
        <v>50000</v>
      </c>
      <c r="G30" s="479"/>
      <c r="H30" s="504">
        <v>7000</v>
      </c>
      <c r="I30" s="504"/>
      <c r="J30" s="194">
        <v>11000</v>
      </c>
      <c r="K30" s="194">
        <v>11000</v>
      </c>
      <c r="L30" s="194">
        <v>11000</v>
      </c>
      <c r="M30" s="194">
        <v>11000</v>
      </c>
      <c r="N30" s="194">
        <v>11000</v>
      </c>
      <c r="O30" s="195">
        <v>17000</v>
      </c>
      <c r="P30" s="195">
        <v>17000</v>
      </c>
      <c r="Q30" s="154"/>
    </row>
    <row r="31" spans="1:17" ht="13.5">
      <c r="A31" s="154"/>
      <c r="B31" s="154"/>
      <c r="C31" s="154"/>
      <c r="D31" s="154"/>
      <c r="E31" s="154"/>
      <c r="F31" s="478">
        <v>60000</v>
      </c>
      <c r="G31" s="479"/>
      <c r="H31" s="498">
        <v>11000</v>
      </c>
      <c r="I31" s="498"/>
      <c r="J31" s="194">
        <v>11000</v>
      </c>
      <c r="K31" s="194">
        <v>11000</v>
      </c>
      <c r="L31" s="194">
        <v>11000</v>
      </c>
      <c r="M31" s="195">
        <v>17000</v>
      </c>
      <c r="N31" s="195">
        <v>17000</v>
      </c>
      <c r="O31" s="195">
        <v>17000</v>
      </c>
      <c r="P31" s="195">
        <v>17000</v>
      </c>
      <c r="Q31" s="154"/>
    </row>
    <row r="32" spans="1:17" ht="13.5">
      <c r="A32" s="154"/>
      <c r="B32" s="154"/>
      <c r="C32" s="154"/>
      <c r="D32" s="154"/>
      <c r="E32" s="154"/>
      <c r="F32" s="478">
        <v>80000</v>
      </c>
      <c r="G32" s="479"/>
      <c r="H32" s="498">
        <v>11000</v>
      </c>
      <c r="I32" s="498"/>
      <c r="J32" s="194">
        <v>11000</v>
      </c>
      <c r="K32" s="194">
        <v>11000</v>
      </c>
      <c r="L32" s="195">
        <v>17000</v>
      </c>
      <c r="M32" s="195">
        <v>17000</v>
      </c>
      <c r="N32" s="195">
        <v>17000</v>
      </c>
      <c r="O32" s="195">
        <v>17000</v>
      </c>
      <c r="P32" s="195">
        <v>17000</v>
      </c>
      <c r="Q32" s="154"/>
    </row>
    <row r="33" spans="1:17" ht="13.5">
      <c r="A33" s="154"/>
      <c r="B33" s="154"/>
      <c r="C33" s="154"/>
      <c r="D33" s="154"/>
      <c r="E33" s="154"/>
      <c r="F33" s="478">
        <v>100000</v>
      </c>
      <c r="G33" s="479"/>
      <c r="H33" s="498">
        <v>11000</v>
      </c>
      <c r="I33" s="498"/>
      <c r="J33" s="194">
        <v>11000</v>
      </c>
      <c r="K33" s="195">
        <v>17000</v>
      </c>
      <c r="L33" s="195">
        <v>17000</v>
      </c>
      <c r="M33" s="195">
        <v>17000</v>
      </c>
      <c r="N33" s="195">
        <v>17000</v>
      </c>
      <c r="O33" s="196">
        <v>23000</v>
      </c>
      <c r="P33" s="196">
        <v>23000</v>
      </c>
      <c r="Q33" s="154"/>
    </row>
    <row r="34" spans="1:17" ht="13.5">
      <c r="A34" s="154"/>
      <c r="B34" s="154"/>
      <c r="C34" s="154"/>
      <c r="D34" s="154"/>
      <c r="E34" s="154"/>
      <c r="F34" s="478">
        <v>150000</v>
      </c>
      <c r="G34" s="479"/>
      <c r="H34" s="499">
        <v>17000</v>
      </c>
      <c r="I34" s="499"/>
      <c r="J34" s="195">
        <v>17000</v>
      </c>
      <c r="K34" s="195">
        <v>17000</v>
      </c>
      <c r="L34" s="196">
        <v>23000</v>
      </c>
      <c r="M34" s="196">
        <v>23000</v>
      </c>
      <c r="N34" s="196">
        <v>23000</v>
      </c>
      <c r="O34" s="196">
        <v>23000</v>
      </c>
      <c r="P34" s="196">
        <v>23000</v>
      </c>
      <c r="Q34" s="154"/>
    </row>
    <row r="35" spans="1:17" ht="13.5">
      <c r="A35" s="154"/>
      <c r="B35" s="154"/>
      <c r="C35" s="154"/>
      <c r="D35" s="154"/>
      <c r="E35" s="154"/>
      <c r="F35" s="478">
        <v>200000</v>
      </c>
      <c r="G35" s="479"/>
      <c r="H35" s="499">
        <v>17000</v>
      </c>
      <c r="I35" s="499"/>
      <c r="J35" s="195">
        <v>17000</v>
      </c>
      <c r="K35" s="196">
        <v>23000</v>
      </c>
      <c r="L35" s="196">
        <v>23000</v>
      </c>
      <c r="M35" s="196">
        <v>23000</v>
      </c>
      <c r="N35" s="196">
        <v>23000</v>
      </c>
      <c r="O35" s="196">
        <v>23000</v>
      </c>
      <c r="P35" s="196">
        <v>23000</v>
      </c>
      <c r="Q35" s="154"/>
    </row>
    <row r="36" spans="1:17" ht="13.5">
      <c r="A36" s="154"/>
      <c r="B36" s="154"/>
      <c r="C36" s="154"/>
      <c r="D36" s="154"/>
      <c r="E36" s="154"/>
      <c r="F36" s="478">
        <v>300000</v>
      </c>
      <c r="G36" s="479"/>
      <c r="H36" s="501">
        <v>23000</v>
      </c>
      <c r="I36" s="501"/>
      <c r="J36" s="196">
        <v>23000</v>
      </c>
      <c r="K36" s="196">
        <v>23000</v>
      </c>
      <c r="L36" s="196">
        <v>23000</v>
      </c>
      <c r="M36" s="196">
        <v>23000</v>
      </c>
      <c r="N36" s="196">
        <v>23000</v>
      </c>
      <c r="O36" s="192">
        <v>43000</v>
      </c>
      <c r="P36" s="192">
        <v>43000</v>
      </c>
      <c r="Q36" s="154"/>
    </row>
    <row r="37" spans="1:17" ht="13.5">
      <c r="A37" s="154"/>
      <c r="B37" s="154"/>
      <c r="C37" s="154"/>
      <c r="D37" s="154"/>
      <c r="E37" s="154"/>
      <c r="F37" s="518" t="s">
        <v>401</v>
      </c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154"/>
    </row>
  </sheetData>
  <sheetProtection/>
  <mergeCells count="51">
    <mergeCell ref="F37:P37"/>
    <mergeCell ref="B2:C2"/>
    <mergeCell ref="E3:G3"/>
    <mergeCell ref="E4:F4"/>
    <mergeCell ref="E1:P1"/>
    <mergeCell ref="J3:P3"/>
    <mergeCell ref="J6:P6"/>
    <mergeCell ref="J4:P4"/>
    <mergeCell ref="J5:P5"/>
    <mergeCell ref="J9:P9"/>
    <mergeCell ref="J12:P12"/>
    <mergeCell ref="J13:P13"/>
    <mergeCell ref="J15:P15"/>
    <mergeCell ref="J16:P16"/>
    <mergeCell ref="J17:P17"/>
    <mergeCell ref="J7:P7"/>
    <mergeCell ref="J8:P8"/>
    <mergeCell ref="J10:P10"/>
    <mergeCell ref="J14:P14"/>
    <mergeCell ref="L25:L26"/>
    <mergeCell ref="M25:M26"/>
    <mergeCell ref="N25:N26"/>
    <mergeCell ref="O25:O26"/>
    <mergeCell ref="P25:P26"/>
    <mergeCell ref="K25:K26"/>
    <mergeCell ref="H25:I26"/>
    <mergeCell ref="H36:I36"/>
    <mergeCell ref="H24:P24"/>
    <mergeCell ref="H27:I27"/>
    <mergeCell ref="H28:I28"/>
    <mergeCell ref="H29:I29"/>
    <mergeCell ref="H30:I30"/>
    <mergeCell ref="H31:I31"/>
    <mergeCell ref="H32:I32"/>
    <mergeCell ref="J25:J26"/>
    <mergeCell ref="F33:G33"/>
    <mergeCell ref="F34:G34"/>
    <mergeCell ref="H33:I33"/>
    <mergeCell ref="H34:I34"/>
    <mergeCell ref="H35:I35"/>
    <mergeCell ref="F35:G35"/>
    <mergeCell ref="F36:G36"/>
    <mergeCell ref="I19:P20"/>
    <mergeCell ref="F24:G26"/>
    <mergeCell ref="F22:P23"/>
    <mergeCell ref="F27:G27"/>
    <mergeCell ref="F28:G28"/>
    <mergeCell ref="F29:G29"/>
    <mergeCell ref="F30:G30"/>
    <mergeCell ref="F31:G31"/>
    <mergeCell ref="F32:G32"/>
  </mergeCells>
  <printOptions/>
  <pageMargins left="0.7" right="0.7" top="0.75" bottom="0.75" header="0.3" footer="0.3"/>
  <pageSetup horizontalDpi="1200" verticalDpi="1200" orientation="landscape" paperSize="9" r:id="rId1"/>
  <ignoredErrors>
    <ignoredError sqref="I3:I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V4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bestFit="1" customWidth="1"/>
    <col min="2" max="2" width="21.00390625" style="0" customWidth="1"/>
    <col min="3" max="3" width="3.421875" style="0" bestFit="1" customWidth="1"/>
    <col min="4" max="4" width="11.57421875" style="0" bestFit="1" customWidth="1"/>
    <col min="6" max="6" width="28.421875" style="0" bestFit="1" customWidth="1"/>
    <col min="11" max="12" width="9.00390625" style="128" customWidth="1"/>
    <col min="13" max="13" width="3.421875" style="0" hidden="1" customWidth="1"/>
    <col min="14" max="14" width="9.28125" style="0" hidden="1" customWidth="1"/>
    <col min="15" max="15" width="6.421875" style="0" hidden="1" customWidth="1"/>
    <col min="16" max="16" width="9.00390625" style="0" hidden="1" customWidth="1"/>
    <col min="17" max="17" width="3.421875" style="0" hidden="1" customWidth="1"/>
    <col min="18" max="18" width="9.28125" style="0" hidden="1" customWidth="1"/>
    <col min="19" max="19" width="5.421875" style="0" hidden="1" customWidth="1"/>
    <col min="20" max="20" width="9.00390625" style="0" hidden="1" customWidth="1"/>
    <col min="21" max="21" width="9.421875" style="0" hidden="1" customWidth="1"/>
    <col min="22" max="22" width="5.421875" style="0" hidden="1" customWidth="1"/>
  </cols>
  <sheetData>
    <row r="1" spans="14:19" ht="19.5" customHeight="1">
      <c r="N1" s="77" t="s">
        <v>162</v>
      </c>
      <c r="O1" s="6">
        <f>C5</f>
        <v>2</v>
      </c>
      <c r="P1" s="548" t="str">
        <f>CHOOSE(O1,"事業所得者","給与所得者","")</f>
        <v>給与所得者</v>
      </c>
      <c r="Q1" s="548"/>
      <c r="R1" s="548"/>
      <c r="S1" s="548"/>
    </row>
    <row r="2" spans="2:19" ht="19.5" customHeight="1">
      <c r="B2" s="255" t="s">
        <v>21</v>
      </c>
      <c r="C2" s="255"/>
      <c r="D2" s="255"/>
      <c r="E2" s="255"/>
      <c r="F2" s="531">
        <f ca="1">TODAY()</f>
        <v>45265</v>
      </c>
      <c r="N2" s="77" t="s">
        <v>163</v>
      </c>
      <c r="O2" s="539">
        <f>C6</f>
        <v>5750000</v>
      </c>
      <c r="P2" s="540"/>
      <c r="Q2" s="540"/>
      <c r="R2" s="540"/>
      <c r="S2" s="540"/>
    </row>
    <row r="3" spans="2:19" ht="19.5" customHeight="1">
      <c r="B3" s="255" t="s">
        <v>22</v>
      </c>
      <c r="C3" s="255"/>
      <c r="D3" s="255"/>
      <c r="E3" s="255"/>
      <c r="F3" s="531"/>
      <c r="N3" s="174">
        <f>IF(INT(O2/10000)&lt;N$12,O$12,IF(INT(O2/10000)&lt;N$13,O$13,IF(INT(O2/10000)&lt;N$14,O$14,IF(INT(O2/10000)&lt;N$15,O$15,IF(INT(O2/10000)&lt;N$16,O$16,IF(INT(O2/10000)&lt;N$17,O$17,IF(INT(O2/10000)&lt;N$18,O$18,O$19)))))))</f>
        <v>0.54</v>
      </c>
      <c r="O3" s="541">
        <f>MIN(N3:N4)</f>
        <v>0.53</v>
      </c>
      <c r="P3" s="541"/>
      <c r="Q3" s="541"/>
      <c r="R3" s="541"/>
      <c r="S3" s="541"/>
    </row>
    <row r="4" spans="2:19" ht="19.5" customHeight="1" thickBot="1">
      <c r="B4" s="255" t="s">
        <v>23</v>
      </c>
      <c r="C4" s="255"/>
      <c r="D4" s="255"/>
      <c r="E4" s="255"/>
      <c r="F4" s="255"/>
      <c r="N4" s="174">
        <f>IF(INT(O2/10000)&lt;N$19,O$19,IF(INT(O2/10000)&lt;N$20,O$20,IF(INT(O2/10000)&lt;N$21,O$21,IF(INT(O2/10000)&lt;N$22,O$22,IF(INT(O2/10000)&lt;N$23,O$23,IF(INT(O2/10000)&lt;N$24,O$24,O$25))))))</f>
        <v>0.53</v>
      </c>
      <c r="O4" s="541">
        <f>VLOOKUP((INT(O2/50000))*50000,U11:V440,2,0)</f>
        <v>0.41</v>
      </c>
      <c r="P4" s="541"/>
      <c r="Q4" s="541"/>
      <c r="R4" s="541"/>
      <c r="S4" s="541"/>
    </row>
    <row r="5" spans="2:19" ht="19.5" customHeight="1">
      <c r="B5" s="256" t="s">
        <v>24</v>
      </c>
      <c r="C5" s="257">
        <v>2</v>
      </c>
      <c r="D5" s="258" t="str">
        <f>IF(C5="","",CHOOSE(C5,"自営業者","給与所得者","年金受給者","無職"))</f>
        <v>給与所得者</v>
      </c>
      <c r="E5" s="255"/>
      <c r="F5" s="532" t="s">
        <v>25</v>
      </c>
      <c r="O5" s="80"/>
      <c r="P5" s="80"/>
      <c r="Q5" s="80"/>
      <c r="R5" s="80"/>
      <c r="S5" s="80"/>
    </row>
    <row r="6" spans="2:19" ht="19.5" customHeight="1">
      <c r="B6" s="256" t="s">
        <v>26</v>
      </c>
      <c r="C6" s="535">
        <v>5750000</v>
      </c>
      <c r="D6" s="536"/>
      <c r="E6" s="255"/>
      <c r="F6" s="533"/>
      <c r="N6" s="77" t="s">
        <v>162</v>
      </c>
      <c r="O6" s="6">
        <f>C7</f>
        <v>2</v>
      </c>
      <c r="P6" s="548" t="str">
        <f>CHOOSE(O6,"事業所得者","給与所得者","")</f>
        <v>給与所得者</v>
      </c>
      <c r="Q6" s="548"/>
      <c r="R6" s="548"/>
      <c r="S6" s="548"/>
    </row>
    <row r="7" spans="2:19" ht="19.5" customHeight="1" thickBot="1">
      <c r="B7" s="259" t="s">
        <v>27</v>
      </c>
      <c r="C7" s="257">
        <v>2</v>
      </c>
      <c r="D7" s="258" t="str">
        <f>IF(C7="","",CHOOSE(C7,"自営業者","給与所得者","年金受給者","無職"))</f>
        <v>給与所得者</v>
      </c>
      <c r="E7" s="255"/>
      <c r="F7" s="534"/>
      <c r="I7" s="128"/>
      <c r="N7" s="77" t="s">
        <v>163</v>
      </c>
      <c r="O7" s="539">
        <f>C8</f>
        <v>3000000</v>
      </c>
      <c r="P7" s="540"/>
      <c r="Q7" s="540"/>
      <c r="R7" s="540"/>
      <c r="S7" s="540"/>
    </row>
    <row r="8" spans="2:19" ht="19.5" customHeight="1">
      <c r="B8" s="259" t="s">
        <v>28</v>
      </c>
      <c r="C8" s="535">
        <v>3000000</v>
      </c>
      <c r="D8" s="536"/>
      <c r="E8" s="255"/>
      <c r="F8" s="260"/>
      <c r="I8" s="128"/>
      <c r="N8" s="174">
        <f>IF(INT(O7/10000)&lt;N$12,O$12,IF(INT(O7/10000)&lt;N$13,O$13,IF(INT(O7/10000)&lt;N$14,O$14,IF(INT(O7/10000)&lt;N$15,O$15,IF(INT(O7/10000)&lt;N$16,O$16,IF(INT(O7/10000)&lt;N$17,O$17,IF(INT(O7/10000)&lt;N$18,O$18,O$19)))))))</f>
        <v>0.57</v>
      </c>
      <c r="O8" s="541">
        <f>MIN(N8:N9)</f>
        <v>0.54</v>
      </c>
      <c r="P8" s="541"/>
      <c r="Q8" s="541"/>
      <c r="R8" s="541"/>
      <c r="S8" s="541"/>
    </row>
    <row r="9" spans="2:19" ht="19.5" customHeight="1">
      <c r="B9" s="261" t="s">
        <v>164</v>
      </c>
      <c r="C9" s="537">
        <v>0</v>
      </c>
      <c r="D9" s="538"/>
      <c r="E9" s="255"/>
      <c r="F9" s="262" t="s">
        <v>36</v>
      </c>
      <c r="I9" s="128"/>
      <c r="N9" s="174">
        <f>IF(INT(O7/10000)&lt;N$19,O$19,IF(INT(O7/10000)&lt;N$20,O$20,IF(INT(O7/10000)&lt;N$21,O$21,IF(INT(O7/10000)&lt;N$22,O$22,IF(INT(O7/10000)&lt;N$23,O$23,IF(INT(O7/10000)&lt;N$24,O$24,O$25))))))</f>
        <v>0.54</v>
      </c>
      <c r="O9" s="541">
        <f>VLOOKUP(INT(O7/50000+1)*50000,U11:V440,2,0)</f>
        <v>0.42</v>
      </c>
      <c r="P9" s="541"/>
      <c r="Q9" s="541"/>
      <c r="R9" s="541"/>
      <c r="S9" s="541"/>
    </row>
    <row r="10" spans="2:6" ht="19.5" customHeight="1">
      <c r="B10" s="261" t="s">
        <v>165</v>
      </c>
      <c r="C10" s="537">
        <v>1</v>
      </c>
      <c r="D10" s="538"/>
      <c r="E10" s="255"/>
      <c r="F10" s="547">
        <f>INT(C15/12)</f>
        <v>58824</v>
      </c>
    </row>
    <row r="11" spans="2:22" ht="19.5" customHeight="1">
      <c r="B11" s="263" t="s">
        <v>30</v>
      </c>
      <c r="C11" s="543">
        <f>IF(C5=1,O3*C6,IF(C5=2,O4*C6,IF(C5=3,C6/8*10*O4)))</f>
        <v>2357500</v>
      </c>
      <c r="D11" s="544"/>
      <c r="E11" s="255"/>
      <c r="F11" s="547"/>
      <c r="M11" s="549" t="s">
        <v>159</v>
      </c>
      <c r="N11" s="549"/>
      <c r="O11" s="549"/>
      <c r="P11" s="81"/>
      <c r="Q11" s="549" t="s">
        <v>160</v>
      </c>
      <c r="R11" s="549"/>
      <c r="S11" s="549"/>
      <c r="U11" s="78">
        <v>50000</v>
      </c>
      <c r="V11" s="78">
        <v>0.54</v>
      </c>
    </row>
    <row r="12" spans="2:22" ht="19.5" customHeight="1">
      <c r="B12" s="263" t="s">
        <v>33</v>
      </c>
      <c r="C12" s="543">
        <f>IF(C7=1,O8*C8,IF(C7=2,O9*C8,IF(C7=3,C8/8*10*O9)))</f>
        <v>1260000</v>
      </c>
      <c r="D12" s="544"/>
      <c r="E12" s="255"/>
      <c r="F12" s="264"/>
      <c r="M12" s="83" t="s">
        <v>161</v>
      </c>
      <c r="N12" s="82">
        <v>66</v>
      </c>
      <c r="O12" s="219">
        <v>0.61</v>
      </c>
      <c r="P12" s="81">
        <v>0.52</v>
      </c>
      <c r="Q12" s="83" t="s">
        <v>161</v>
      </c>
      <c r="R12" s="82">
        <v>100</v>
      </c>
      <c r="S12" s="84">
        <v>0.54</v>
      </c>
      <c r="T12">
        <v>0.42</v>
      </c>
      <c r="U12" s="78">
        <v>100000</v>
      </c>
      <c r="V12" s="78">
        <v>0.54</v>
      </c>
    </row>
    <row r="13" spans="2:22" ht="19.5" customHeight="1">
      <c r="B13" s="263" t="s">
        <v>35</v>
      </c>
      <c r="C13" s="545">
        <f>IF(AND(C9=0,C10=0),0,(C9*62+C10*85)/(C9*62+C10*85+100))</f>
        <v>0.4594594594594595</v>
      </c>
      <c r="D13" s="546"/>
      <c r="E13" s="255"/>
      <c r="F13" s="542">
        <f>INT(C15)</f>
        <v>705898</v>
      </c>
      <c r="M13" s="83" t="s">
        <v>161</v>
      </c>
      <c r="N13" s="82">
        <v>82</v>
      </c>
      <c r="O13" s="219">
        <v>0.6</v>
      </c>
      <c r="P13" s="81">
        <v>0.51</v>
      </c>
      <c r="Q13" s="83" t="s">
        <v>161</v>
      </c>
      <c r="R13" s="82">
        <v>125</v>
      </c>
      <c r="S13" s="84">
        <v>0.52</v>
      </c>
      <c r="T13">
        <v>0.41</v>
      </c>
      <c r="U13" s="78">
        <v>150000</v>
      </c>
      <c r="V13" s="78">
        <v>0.54</v>
      </c>
    </row>
    <row r="14" spans="2:22" ht="19.5" customHeight="1">
      <c r="B14" s="263" t="s">
        <v>37</v>
      </c>
      <c r="C14" s="543">
        <f>IF(C11="","",C11*C13)</f>
        <v>1083175.6756756757</v>
      </c>
      <c r="D14" s="544"/>
      <c r="E14" s="255"/>
      <c r="F14" s="542"/>
      <c r="M14" s="83" t="s">
        <v>161</v>
      </c>
      <c r="N14" s="82">
        <v>98</v>
      </c>
      <c r="O14" s="219">
        <v>0.59</v>
      </c>
      <c r="P14" s="81">
        <v>0.5</v>
      </c>
      <c r="Q14" s="83" t="s">
        <v>161</v>
      </c>
      <c r="R14" s="82">
        <v>150</v>
      </c>
      <c r="S14" s="84">
        <v>0.5</v>
      </c>
      <c r="T14">
        <v>0.4</v>
      </c>
      <c r="U14" s="78">
        <v>200000</v>
      </c>
      <c r="V14" s="78">
        <v>0.54</v>
      </c>
    </row>
    <row r="15" spans="2:22" ht="19.5" customHeight="1" thickBot="1">
      <c r="B15" s="263" t="s">
        <v>39</v>
      </c>
      <c r="C15" s="543">
        <f>INT(C14*(C11/(C11+C12)))</f>
        <v>705898</v>
      </c>
      <c r="D15" s="544"/>
      <c r="E15" s="255"/>
      <c r="F15" s="265"/>
      <c r="M15" s="83" t="s">
        <v>161</v>
      </c>
      <c r="N15" s="82">
        <v>256</v>
      </c>
      <c r="O15" s="219">
        <v>0.58</v>
      </c>
      <c r="P15" s="81">
        <v>0.49</v>
      </c>
      <c r="Q15" s="83" t="s">
        <v>161</v>
      </c>
      <c r="R15" s="82">
        <v>250</v>
      </c>
      <c r="S15" s="84">
        <v>0.48</v>
      </c>
      <c r="T15">
        <v>0.39</v>
      </c>
      <c r="U15" s="78">
        <v>250000</v>
      </c>
      <c r="V15" s="78">
        <v>0.54</v>
      </c>
    </row>
    <row r="16" spans="13:22" ht="19.5" customHeight="1">
      <c r="M16" s="83" t="s">
        <v>161</v>
      </c>
      <c r="N16" s="82">
        <v>349</v>
      </c>
      <c r="O16" s="219">
        <v>0.57</v>
      </c>
      <c r="P16" s="81">
        <v>0.48</v>
      </c>
      <c r="Q16" s="83" t="s">
        <v>161</v>
      </c>
      <c r="R16" s="82">
        <v>500</v>
      </c>
      <c r="S16" s="84">
        <v>0.46</v>
      </c>
      <c r="T16">
        <v>0.38</v>
      </c>
      <c r="U16" s="78">
        <v>300000</v>
      </c>
      <c r="V16" s="78">
        <v>0.54</v>
      </c>
    </row>
    <row r="17" spans="13:22" ht="13.5">
      <c r="M17" s="83" t="s">
        <v>161</v>
      </c>
      <c r="N17" s="82">
        <v>392</v>
      </c>
      <c r="O17" s="219">
        <v>0.56</v>
      </c>
      <c r="P17" s="81">
        <v>0.47</v>
      </c>
      <c r="Q17" s="83" t="s">
        <v>161</v>
      </c>
      <c r="R17" s="82">
        <v>700</v>
      </c>
      <c r="S17" s="84">
        <v>0.44</v>
      </c>
      <c r="T17">
        <v>0.37</v>
      </c>
      <c r="U17" s="78">
        <v>350000</v>
      </c>
      <c r="V17" s="78">
        <v>0.54</v>
      </c>
    </row>
    <row r="18" spans="13:22" ht="13.5">
      <c r="M18" s="83" t="s">
        <v>161</v>
      </c>
      <c r="N18" s="82">
        <v>496</v>
      </c>
      <c r="O18" s="219">
        <v>0.55</v>
      </c>
      <c r="P18" s="81"/>
      <c r="Q18" s="83" t="s">
        <v>161</v>
      </c>
      <c r="R18" s="82">
        <v>850</v>
      </c>
      <c r="S18" s="84">
        <v>0.42</v>
      </c>
      <c r="T18">
        <v>0.36</v>
      </c>
      <c r="U18" s="78">
        <v>400000</v>
      </c>
      <c r="V18" s="78">
        <v>0.54</v>
      </c>
    </row>
    <row r="19" spans="13:22" ht="13.5">
      <c r="M19" s="83" t="s">
        <v>161</v>
      </c>
      <c r="N19" s="82">
        <v>563</v>
      </c>
      <c r="O19" s="219">
        <v>0.54</v>
      </c>
      <c r="P19" s="81"/>
      <c r="Q19" s="83" t="s">
        <v>161</v>
      </c>
      <c r="R19" s="82">
        <v>1350</v>
      </c>
      <c r="S19" s="84">
        <v>0.4</v>
      </c>
      <c r="T19">
        <v>0.35</v>
      </c>
      <c r="U19" s="78">
        <v>450000</v>
      </c>
      <c r="V19" s="78">
        <v>0.54</v>
      </c>
    </row>
    <row r="20" spans="13:22" ht="13.5">
      <c r="M20" s="83" t="s">
        <v>161</v>
      </c>
      <c r="N20" s="82">
        <v>784</v>
      </c>
      <c r="O20" s="219">
        <v>0.53</v>
      </c>
      <c r="P20" s="81"/>
      <c r="Q20" s="83" t="s">
        <v>161</v>
      </c>
      <c r="R20" s="82">
        <v>2000</v>
      </c>
      <c r="S20" s="84">
        <v>0.38</v>
      </c>
      <c r="T20">
        <v>0.34</v>
      </c>
      <c r="U20" s="78">
        <v>500000</v>
      </c>
      <c r="V20" s="78">
        <v>0.54</v>
      </c>
    </row>
    <row r="21" spans="13:22" ht="13.5">
      <c r="M21" s="83" t="s">
        <v>161</v>
      </c>
      <c r="N21" s="82">
        <v>942</v>
      </c>
      <c r="O21" s="219">
        <v>0.52</v>
      </c>
      <c r="U21" s="78">
        <v>550000</v>
      </c>
      <c r="V21" s="78">
        <v>0.54</v>
      </c>
    </row>
    <row r="22" spans="13:22" ht="13.5">
      <c r="M22" s="83" t="s">
        <v>161</v>
      </c>
      <c r="N22" s="82">
        <v>1046</v>
      </c>
      <c r="O22" s="219">
        <v>0.51</v>
      </c>
      <c r="U22" s="78">
        <v>600000</v>
      </c>
      <c r="V22" s="78">
        <v>0.54</v>
      </c>
    </row>
    <row r="23" spans="13:22" ht="13.5">
      <c r="M23" s="83" t="s">
        <v>161</v>
      </c>
      <c r="N23" s="82">
        <v>1179</v>
      </c>
      <c r="O23" s="219">
        <v>0.5</v>
      </c>
      <c r="U23" s="78">
        <v>650000</v>
      </c>
      <c r="V23" s="78">
        <v>0.54</v>
      </c>
    </row>
    <row r="24" spans="13:22" ht="13.5">
      <c r="M24" s="83" t="s">
        <v>161</v>
      </c>
      <c r="N24" s="82">
        <v>1482</v>
      </c>
      <c r="O24" s="219">
        <v>0.49</v>
      </c>
      <c r="U24" s="78">
        <v>700000</v>
      </c>
      <c r="V24" s="78">
        <v>0.54</v>
      </c>
    </row>
    <row r="25" spans="13:22" ht="13.5">
      <c r="M25" s="83" t="s">
        <v>161</v>
      </c>
      <c r="N25" s="82">
        <v>1567</v>
      </c>
      <c r="O25" s="219">
        <v>0.48</v>
      </c>
      <c r="U25" s="78">
        <v>750000</v>
      </c>
      <c r="V25" s="78">
        <v>0.54</v>
      </c>
    </row>
    <row r="26" spans="21:22" ht="13.5">
      <c r="U26" s="78">
        <v>800000</v>
      </c>
      <c r="V26" s="78">
        <v>0.5</v>
      </c>
    </row>
    <row r="27" spans="21:22" ht="13.5">
      <c r="U27" s="78">
        <v>850000</v>
      </c>
      <c r="V27" s="78">
        <v>0.5</v>
      </c>
    </row>
    <row r="28" spans="21:22" ht="13.5">
      <c r="U28" s="78">
        <v>900000</v>
      </c>
      <c r="V28" s="78">
        <v>0.5</v>
      </c>
    </row>
    <row r="29" spans="21:22" ht="13.5">
      <c r="U29" s="78">
        <v>950000</v>
      </c>
      <c r="V29" s="78">
        <v>0.5</v>
      </c>
    </row>
    <row r="30" spans="21:22" ht="13.5">
      <c r="U30" s="78">
        <v>1000000</v>
      </c>
      <c r="V30" s="78">
        <v>0.5</v>
      </c>
    </row>
    <row r="31" spans="21:22" ht="13.5">
      <c r="U31" s="78">
        <v>1050000</v>
      </c>
      <c r="V31" s="78">
        <v>0.46</v>
      </c>
    </row>
    <row r="32" spans="21:22" ht="13.5">
      <c r="U32" s="78">
        <v>1100000</v>
      </c>
      <c r="V32" s="78">
        <v>0.46</v>
      </c>
    </row>
    <row r="33" spans="21:22" ht="13.5">
      <c r="U33" s="78">
        <v>1150000</v>
      </c>
      <c r="V33" s="78">
        <v>0.46</v>
      </c>
    </row>
    <row r="34" spans="21:22" ht="13.5">
      <c r="U34" s="78">
        <v>1200000</v>
      </c>
      <c r="V34" s="78">
        <v>0.46</v>
      </c>
    </row>
    <row r="35" spans="21:22" ht="13.5">
      <c r="U35" s="78">
        <v>1250000</v>
      </c>
      <c r="V35" s="78">
        <v>0.46</v>
      </c>
    </row>
    <row r="36" spans="21:22" ht="13.5">
      <c r="U36" s="78">
        <v>1300000</v>
      </c>
      <c r="V36" s="78">
        <v>0.44</v>
      </c>
    </row>
    <row r="37" spans="21:22" ht="13.5">
      <c r="U37" s="78">
        <v>1350000</v>
      </c>
      <c r="V37" s="78">
        <v>0.44</v>
      </c>
    </row>
    <row r="38" spans="21:22" ht="13.5">
      <c r="U38" s="78">
        <v>1400000</v>
      </c>
      <c r="V38" s="78">
        <v>0.44</v>
      </c>
    </row>
    <row r="39" spans="21:22" ht="13.5">
      <c r="U39" s="78">
        <v>1450000</v>
      </c>
      <c r="V39" s="78">
        <v>0.44</v>
      </c>
    </row>
    <row r="40" spans="21:22" ht="13.5">
      <c r="U40" s="78">
        <v>1500000</v>
      </c>
      <c r="V40" s="78">
        <v>0.44</v>
      </c>
    </row>
    <row r="41" spans="21:22" ht="13.5">
      <c r="U41" s="78">
        <v>1550000</v>
      </c>
      <c r="V41" s="78">
        <v>0.44</v>
      </c>
    </row>
    <row r="42" spans="21:22" ht="13.5">
      <c r="U42" s="78">
        <v>1600000</v>
      </c>
      <c r="V42" s="78">
        <v>0.44</v>
      </c>
    </row>
    <row r="43" spans="21:22" ht="13.5">
      <c r="U43" s="78">
        <v>1650000</v>
      </c>
      <c r="V43" s="78">
        <v>0.44</v>
      </c>
    </row>
    <row r="44" spans="21:22" ht="13.5">
      <c r="U44" s="78">
        <v>1700000</v>
      </c>
      <c r="V44" s="78">
        <v>0.44</v>
      </c>
    </row>
    <row r="45" spans="21:22" ht="13.5">
      <c r="U45" s="78">
        <v>1750000</v>
      </c>
      <c r="V45" s="78">
        <v>0.44</v>
      </c>
    </row>
    <row r="46" spans="21:22" ht="13.5">
      <c r="U46" s="78">
        <v>1800000</v>
      </c>
      <c r="V46" s="78">
        <v>0.43</v>
      </c>
    </row>
    <row r="47" spans="21:22" ht="13.5">
      <c r="U47" s="78">
        <v>1850000</v>
      </c>
      <c r="V47" s="78">
        <v>0.43</v>
      </c>
    </row>
    <row r="48" spans="21:22" ht="13.5">
      <c r="U48" s="78">
        <v>1900000</v>
      </c>
      <c r="V48" s="78">
        <v>0.43</v>
      </c>
    </row>
    <row r="49" spans="21:22" ht="13.5">
      <c r="U49" s="78">
        <v>1950000</v>
      </c>
      <c r="V49" s="78">
        <v>0.43</v>
      </c>
    </row>
    <row r="50" spans="21:22" ht="13.5">
      <c r="U50" s="78">
        <v>2000000</v>
      </c>
      <c r="V50" s="78">
        <v>0.43</v>
      </c>
    </row>
    <row r="51" spans="21:22" ht="13.5">
      <c r="U51" s="78">
        <v>2050000</v>
      </c>
      <c r="V51" s="78">
        <v>0.43</v>
      </c>
    </row>
    <row r="52" spans="21:22" ht="13.5">
      <c r="U52" s="78">
        <v>2100000</v>
      </c>
      <c r="V52" s="78">
        <v>0.43</v>
      </c>
    </row>
    <row r="53" spans="21:22" ht="13.5">
      <c r="U53" s="78">
        <v>2150000</v>
      </c>
      <c r="V53" s="78">
        <v>0.43</v>
      </c>
    </row>
    <row r="54" spans="21:22" ht="13.5">
      <c r="U54" s="78">
        <v>2200000</v>
      </c>
      <c r="V54" s="78">
        <v>0.43</v>
      </c>
    </row>
    <row r="55" spans="21:22" ht="13.5">
      <c r="U55" s="78">
        <v>2250000</v>
      </c>
      <c r="V55" s="78">
        <v>0.43</v>
      </c>
    </row>
    <row r="56" spans="21:22" ht="13.5">
      <c r="U56" s="78">
        <v>2300000</v>
      </c>
      <c r="V56" s="78">
        <v>0.43</v>
      </c>
    </row>
    <row r="57" spans="21:22" ht="13.5">
      <c r="U57" s="78">
        <v>2350000</v>
      </c>
      <c r="V57" s="78">
        <v>0.43</v>
      </c>
    </row>
    <row r="58" spans="21:22" ht="13.5">
      <c r="U58" s="78">
        <v>2400000</v>
      </c>
      <c r="V58" s="78">
        <v>0.43</v>
      </c>
    </row>
    <row r="59" spans="21:22" ht="13.5">
      <c r="U59" s="78">
        <v>2450000</v>
      </c>
      <c r="V59" s="78">
        <v>0.43</v>
      </c>
    </row>
    <row r="60" spans="21:22" ht="13.5">
      <c r="U60" s="78">
        <v>2500000</v>
      </c>
      <c r="V60" s="78">
        <v>0.43</v>
      </c>
    </row>
    <row r="61" spans="21:22" ht="13.5">
      <c r="U61" s="78">
        <v>2550000</v>
      </c>
      <c r="V61" s="78">
        <v>0.43</v>
      </c>
    </row>
    <row r="62" spans="21:22" ht="13.5">
      <c r="U62" s="78">
        <v>2600000</v>
      </c>
      <c r="V62" s="78">
        <v>0.43</v>
      </c>
    </row>
    <row r="63" spans="21:22" ht="13.5">
      <c r="U63" s="78">
        <v>2650000</v>
      </c>
      <c r="V63" s="78">
        <v>0.43</v>
      </c>
    </row>
    <row r="64" spans="21:22" ht="13.5">
      <c r="U64" s="78">
        <v>2700000</v>
      </c>
      <c r="V64" s="78">
        <v>0.43</v>
      </c>
    </row>
    <row r="65" spans="21:22" ht="13.5">
      <c r="U65" s="78">
        <v>2750000</v>
      </c>
      <c r="V65" s="78">
        <v>0.43</v>
      </c>
    </row>
    <row r="66" spans="21:22" ht="13.5">
      <c r="U66" s="78">
        <v>2800000</v>
      </c>
      <c r="V66" s="78">
        <v>0.42</v>
      </c>
    </row>
    <row r="67" spans="21:22" ht="13.5">
      <c r="U67" s="78">
        <v>2850000</v>
      </c>
      <c r="V67" s="78">
        <v>0.42</v>
      </c>
    </row>
    <row r="68" spans="21:22" ht="13.5">
      <c r="U68" s="78">
        <v>2900000</v>
      </c>
      <c r="V68" s="78">
        <v>0.42</v>
      </c>
    </row>
    <row r="69" spans="21:22" ht="13.5">
      <c r="U69" s="78">
        <v>2950000</v>
      </c>
      <c r="V69" s="78">
        <v>0.42</v>
      </c>
    </row>
    <row r="70" spans="21:22" ht="13.5">
      <c r="U70" s="78">
        <v>3000000</v>
      </c>
      <c r="V70" s="78">
        <v>0.42</v>
      </c>
    </row>
    <row r="71" spans="21:22" ht="13.5">
      <c r="U71" s="78">
        <v>3050000</v>
      </c>
      <c r="V71" s="78">
        <v>0.42</v>
      </c>
    </row>
    <row r="72" spans="21:22" ht="13.5">
      <c r="U72" s="78">
        <v>3100000</v>
      </c>
      <c r="V72" s="78">
        <v>0.42</v>
      </c>
    </row>
    <row r="73" spans="21:22" ht="13.5">
      <c r="U73" s="78">
        <v>3150000</v>
      </c>
      <c r="V73" s="78">
        <v>0.42</v>
      </c>
    </row>
    <row r="74" spans="21:22" ht="13.5">
      <c r="U74" s="78">
        <v>3200000</v>
      </c>
      <c r="V74" s="78">
        <v>0.42</v>
      </c>
    </row>
    <row r="75" spans="21:22" ht="13.5">
      <c r="U75" s="78">
        <v>3250000</v>
      </c>
      <c r="V75" s="78">
        <v>0.42</v>
      </c>
    </row>
    <row r="76" spans="21:22" ht="13.5">
      <c r="U76" s="78">
        <v>3300000</v>
      </c>
      <c r="V76" s="78">
        <v>0.42</v>
      </c>
    </row>
    <row r="77" spans="21:22" ht="13.5">
      <c r="U77" s="78">
        <v>3350000</v>
      </c>
      <c r="V77" s="78">
        <v>0.42</v>
      </c>
    </row>
    <row r="78" spans="21:22" ht="13.5">
      <c r="U78" s="78">
        <v>3400000</v>
      </c>
      <c r="V78" s="78">
        <v>0.42</v>
      </c>
    </row>
    <row r="79" spans="21:22" ht="13.5">
      <c r="U79" s="78">
        <v>3450000</v>
      </c>
      <c r="V79" s="78">
        <v>0.42</v>
      </c>
    </row>
    <row r="80" spans="21:22" ht="13.5">
      <c r="U80" s="78">
        <v>3500000</v>
      </c>
      <c r="V80" s="78">
        <v>0.42</v>
      </c>
    </row>
    <row r="81" spans="21:22" ht="13.5">
      <c r="U81" s="78">
        <v>3550000</v>
      </c>
      <c r="V81" s="78">
        <v>0.42</v>
      </c>
    </row>
    <row r="82" spans="21:22" ht="13.5">
      <c r="U82" s="78">
        <v>3600000</v>
      </c>
      <c r="V82" s="78">
        <v>0.42</v>
      </c>
    </row>
    <row r="83" spans="21:22" ht="13.5">
      <c r="U83" s="78">
        <v>3650000</v>
      </c>
      <c r="V83" s="78">
        <v>0.42</v>
      </c>
    </row>
    <row r="84" spans="21:22" ht="13.5">
      <c r="U84" s="78">
        <v>3700000</v>
      </c>
      <c r="V84" s="78">
        <v>0.42</v>
      </c>
    </row>
    <row r="85" spans="21:22" ht="13.5">
      <c r="U85" s="78">
        <v>3750000</v>
      </c>
      <c r="V85" s="78">
        <v>0.42</v>
      </c>
    </row>
    <row r="86" spans="21:22" ht="13.5">
      <c r="U86" s="78">
        <v>3800000</v>
      </c>
      <c r="V86" s="78">
        <v>0.42</v>
      </c>
    </row>
    <row r="87" spans="21:22" ht="13.5">
      <c r="U87" s="78">
        <v>3850000</v>
      </c>
      <c r="V87" s="78">
        <v>0.42</v>
      </c>
    </row>
    <row r="88" spans="21:22" ht="13.5">
      <c r="U88" s="78">
        <v>3900000</v>
      </c>
      <c r="V88" s="78">
        <v>0.42</v>
      </c>
    </row>
    <row r="89" spans="21:22" ht="13.5">
      <c r="U89" s="78">
        <v>3950000</v>
      </c>
      <c r="V89" s="78">
        <v>0.42</v>
      </c>
    </row>
    <row r="90" spans="21:22" ht="13.5">
      <c r="U90" s="78">
        <v>4000000</v>
      </c>
      <c r="V90" s="78">
        <v>0.42</v>
      </c>
    </row>
    <row r="91" spans="21:22" ht="13.5">
      <c r="U91" s="78">
        <v>4050000</v>
      </c>
      <c r="V91" s="78">
        <v>0.42</v>
      </c>
    </row>
    <row r="92" spans="21:22" ht="13.5">
      <c r="U92" s="78">
        <v>4100000</v>
      </c>
      <c r="V92" s="78">
        <v>0.42</v>
      </c>
    </row>
    <row r="93" spans="21:22" ht="13.5">
      <c r="U93" s="78">
        <v>4150000</v>
      </c>
      <c r="V93" s="78">
        <v>0.42</v>
      </c>
    </row>
    <row r="94" spans="21:22" ht="13.5">
      <c r="U94" s="78">
        <v>4200000</v>
      </c>
      <c r="V94" s="78">
        <v>0.42</v>
      </c>
    </row>
    <row r="95" spans="21:22" ht="13.5">
      <c r="U95" s="78">
        <v>4250000</v>
      </c>
      <c r="V95" s="78">
        <v>0.42</v>
      </c>
    </row>
    <row r="96" spans="21:22" ht="13.5">
      <c r="U96" s="78">
        <v>4300000</v>
      </c>
      <c r="V96" s="78">
        <v>0.42</v>
      </c>
    </row>
    <row r="97" spans="21:22" ht="13.5">
      <c r="U97" s="78">
        <v>4350000</v>
      </c>
      <c r="V97" s="78">
        <v>0.42</v>
      </c>
    </row>
    <row r="98" spans="21:22" ht="13.5">
      <c r="U98" s="78">
        <v>4400000</v>
      </c>
      <c r="V98" s="78">
        <v>0.42</v>
      </c>
    </row>
    <row r="99" spans="21:22" ht="13.5">
      <c r="U99" s="78">
        <v>4450000</v>
      </c>
      <c r="V99" s="78">
        <v>0.42</v>
      </c>
    </row>
    <row r="100" spans="21:22" ht="13.5">
      <c r="U100" s="78">
        <v>4500000</v>
      </c>
      <c r="V100" s="78">
        <v>0.42</v>
      </c>
    </row>
    <row r="101" spans="21:22" ht="13.5">
      <c r="U101" s="78">
        <v>4550000</v>
      </c>
      <c r="V101" s="78">
        <v>0.42</v>
      </c>
    </row>
    <row r="102" spans="21:22" ht="13.5">
      <c r="U102" s="78">
        <v>4600000</v>
      </c>
      <c r="V102" s="78">
        <v>0.42</v>
      </c>
    </row>
    <row r="103" spans="21:22" ht="13.5">
      <c r="U103" s="78">
        <v>4650000</v>
      </c>
      <c r="V103" s="78">
        <v>0.42</v>
      </c>
    </row>
    <row r="104" spans="21:22" ht="13.5">
      <c r="U104" s="78">
        <v>4700000</v>
      </c>
      <c r="V104" s="78">
        <v>0.42</v>
      </c>
    </row>
    <row r="105" spans="21:22" ht="13.5">
      <c r="U105" s="78">
        <v>4750000</v>
      </c>
      <c r="V105" s="78">
        <v>0.42</v>
      </c>
    </row>
    <row r="106" spans="21:22" ht="13.5">
      <c r="U106" s="78">
        <v>4800000</v>
      </c>
      <c r="V106" s="78">
        <v>0.42</v>
      </c>
    </row>
    <row r="107" spans="21:22" ht="13.5">
      <c r="U107" s="78">
        <v>4850000</v>
      </c>
      <c r="V107" s="78">
        <v>0.42</v>
      </c>
    </row>
    <row r="108" spans="21:22" ht="13.5">
      <c r="U108" s="78">
        <v>4900000</v>
      </c>
      <c r="V108" s="78">
        <v>0.42</v>
      </c>
    </row>
    <row r="109" spans="21:22" ht="13.5">
      <c r="U109" s="78">
        <v>4950000</v>
      </c>
      <c r="V109" s="78">
        <v>0.42</v>
      </c>
    </row>
    <row r="110" spans="21:22" ht="13.5">
      <c r="U110" s="78">
        <v>5000000</v>
      </c>
      <c r="V110" s="78">
        <v>0.42</v>
      </c>
    </row>
    <row r="111" spans="21:22" ht="13.5">
      <c r="U111" s="78">
        <v>5050000</v>
      </c>
      <c r="V111" s="78">
        <v>0.42</v>
      </c>
    </row>
    <row r="112" spans="21:22" ht="13.5">
      <c r="U112" s="78">
        <v>5100000</v>
      </c>
      <c r="V112" s="78">
        <v>0.42</v>
      </c>
    </row>
    <row r="113" spans="21:22" ht="13.5">
      <c r="U113" s="78">
        <v>5150000</v>
      </c>
      <c r="V113" s="78">
        <v>0.42</v>
      </c>
    </row>
    <row r="114" spans="21:22" ht="13.5">
      <c r="U114" s="78">
        <v>5200000</v>
      </c>
      <c r="V114" s="78">
        <v>0.42</v>
      </c>
    </row>
    <row r="115" spans="21:22" ht="13.5">
      <c r="U115" s="78">
        <v>5250000</v>
      </c>
      <c r="V115" s="78">
        <v>0.42</v>
      </c>
    </row>
    <row r="116" spans="21:22" ht="13.5">
      <c r="U116" s="78">
        <v>5300000</v>
      </c>
      <c r="V116" s="78">
        <v>0.41</v>
      </c>
    </row>
    <row r="117" spans="21:22" ht="13.5">
      <c r="U117" s="78">
        <v>5350000</v>
      </c>
      <c r="V117" s="78">
        <v>0.41</v>
      </c>
    </row>
    <row r="118" spans="21:22" ht="13.5">
      <c r="U118" s="78">
        <v>5400000</v>
      </c>
      <c r="V118" s="78">
        <v>0.41</v>
      </c>
    </row>
    <row r="119" spans="21:22" ht="13.5">
      <c r="U119" s="78">
        <v>5450000</v>
      </c>
      <c r="V119" s="78">
        <v>0.41</v>
      </c>
    </row>
    <row r="120" spans="21:22" ht="13.5">
      <c r="U120" s="78">
        <v>5500000</v>
      </c>
      <c r="V120" s="78">
        <v>0.41</v>
      </c>
    </row>
    <row r="121" spans="21:22" ht="13.5">
      <c r="U121" s="78">
        <v>5550000</v>
      </c>
      <c r="V121" s="78">
        <v>0.41</v>
      </c>
    </row>
    <row r="122" spans="21:22" ht="13.5">
      <c r="U122" s="78">
        <v>5600000</v>
      </c>
      <c r="V122" s="78">
        <v>0.41</v>
      </c>
    </row>
    <row r="123" spans="21:22" ht="13.5">
      <c r="U123" s="78">
        <v>5650000</v>
      </c>
      <c r="V123" s="78">
        <v>0.41</v>
      </c>
    </row>
    <row r="124" spans="21:22" ht="13.5">
      <c r="U124" s="78">
        <v>5700000</v>
      </c>
      <c r="V124" s="78">
        <v>0.41</v>
      </c>
    </row>
    <row r="125" spans="21:22" ht="13.5">
      <c r="U125" s="78">
        <v>5750000</v>
      </c>
      <c r="V125" s="78">
        <v>0.41</v>
      </c>
    </row>
    <row r="126" spans="21:22" ht="13.5">
      <c r="U126" s="78">
        <v>5800000</v>
      </c>
      <c r="V126" s="78">
        <v>0.41</v>
      </c>
    </row>
    <row r="127" spans="21:22" ht="13.5">
      <c r="U127" s="78">
        <v>5850000</v>
      </c>
      <c r="V127" s="78">
        <v>0.41</v>
      </c>
    </row>
    <row r="128" spans="21:22" ht="13.5">
      <c r="U128" s="78">
        <v>5900000</v>
      </c>
      <c r="V128" s="78">
        <v>0.41</v>
      </c>
    </row>
    <row r="129" spans="21:22" ht="13.5">
      <c r="U129" s="78">
        <v>5950000</v>
      </c>
      <c r="V129" s="78">
        <v>0.41</v>
      </c>
    </row>
    <row r="130" spans="21:22" ht="13.5">
      <c r="U130" s="78">
        <v>6000000</v>
      </c>
      <c r="V130" s="78">
        <v>0.41</v>
      </c>
    </row>
    <row r="131" spans="21:22" ht="13.5">
      <c r="U131" s="78">
        <v>6050000</v>
      </c>
      <c r="V131" s="78">
        <v>0.41</v>
      </c>
    </row>
    <row r="132" spans="21:22" ht="13.5">
      <c r="U132" s="78">
        <v>6100000</v>
      </c>
      <c r="V132" s="78">
        <v>0.41</v>
      </c>
    </row>
    <row r="133" spans="21:22" ht="13.5">
      <c r="U133" s="78">
        <v>6150000</v>
      </c>
      <c r="V133" s="78">
        <v>0.41</v>
      </c>
    </row>
    <row r="134" spans="21:22" ht="13.5">
      <c r="U134" s="78">
        <v>6200000</v>
      </c>
      <c r="V134" s="78">
        <v>0.41</v>
      </c>
    </row>
    <row r="135" spans="21:22" ht="13.5">
      <c r="U135" s="78">
        <v>6250000</v>
      </c>
      <c r="V135" s="78">
        <v>0.41</v>
      </c>
    </row>
    <row r="136" spans="21:22" ht="13.5">
      <c r="U136" s="78">
        <v>6300000</v>
      </c>
      <c r="V136" s="78">
        <v>0.41</v>
      </c>
    </row>
    <row r="137" spans="21:22" ht="13.5">
      <c r="U137" s="78">
        <v>6350000</v>
      </c>
      <c r="V137" s="78">
        <v>0.41</v>
      </c>
    </row>
    <row r="138" spans="21:22" ht="13.5">
      <c r="U138" s="78">
        <v>6400000</v>
      </c>
      <c r="V138" s="78">
        <v>0.41</v>
      </c>
    </row>
    <row r="139" spans="21:22" ht="13.5">
      <c r="U139" s="78">
        <v>6450000</v>
      </c>
      <c r="V139" s="78">
        <v>0.41</v>
      </c>
    </row>
    <row r="140" spans="21:22" ht="13.5">
      <c r="U140" s="78">
        <v>6500000</v>
      </c>
      <c r="V140" s="78">
        <v>0.41</v>
      </c>
    </row>
    <row r="141" spans="21:22" ht="13.5">
      <c r="U141" s="78">
        <v>6550000</v>
      </c>
      <c r="V141" s="78">
        <v>0.41</v>
      </c>
    </row>
    <row r="142" spans="21:22" ht="13.5">
      <c r="U142" s="78">
        <v>6600000</v>
      </c>
      <c r="V142" s="78">
        <v>0.41</v>
      </c>
    </row>
    <row r="143" spans="21:22" ht="13.5">
      <c r="U143" s="78">
        <v>6650000</v>
      </c>
      <c r="V143" s="78">
        <v>0.41</v>
      </c>
    </row>
    <row r="144" spans="21:22" ht="13.5">
      <c r="U144" s="78">
        <v>6700000</v>
      </c>
      <c r="V144" s="78">
        <v>0.41</v>
      </c>
    </row>
    <row r="145" spans="21:22" ht="13.5">
      <c r="U145" s="78">
        <v>6750000</v>
      </c>
      <c r="V145" s="78">
        <v>0.41</v>
      </c>
    </row>
    <row r="146" spans="21:22" ht="13.5">
      <c r="U146" s="78">
        <v>6800000</v>
      </c>
      <c r="V146" s="78">
        <v>0.41</v>
      </c>
    </row>
    <row r="147" spans="21:22" ht="13.5">
      <c r="U147" s="78">
        <v>6850000</v>
      </c>
      <c r="V147" s="78">
        <v>0.41</v>
      </c>
    </row>
    <row r="148" spans="21:22" ht="13.5">
      <c r="U148" s="78">
        <v>6900000</v>
      </c>
      <c r="V148" s="78">
        <v>0.41</v>
      </c>
    </row>
    <row r="149" spans="21:22" ht="13.5">
      <c r="U149" s="78">
        <v>6950000</v>
      </c>
      <c r="V149" s="78">
        <v>0.41</v>
      </c>
    </row>
    <row r="150" spans="21:22" ht="13.5">
      <c r="U150" s="78">
        <v>7000000</v>
      </c>
      <c r="V150" s="78">
        <v>0.41</v>
      </c>
    </row>
    <row r="151" spans="21:22" ht="13.5">
      <c r="U151" s="78">
        <v>7050000</v>
      </c>
      <c r="V151" s="78">
        <v>0.41</v>
      </c>
    </row>
    <row r="152" spans="21:22" ht="13.5">
      <c r="U152" s="78">
        <v>7100000</v>
      </c>
      <c r="V152" s="78">
        <v>0.41</v>
      </c>
    </row>
    <row r="153" spans="21:22" ht="13.5">
      <c r="U153" s="78">
        <v>7150000</v>
      </c>
      <c r="V153" s="78">
        <v>0.41</v>
      </c>
    </row>
    <row r="154" spans="21:22" ht="13.5">
      <c r="U154" s="78">
        <v>7200000</v>
      </c>
      <c r="V154" s="78">
        <v>0.41</v>
      </c>
    </row>
    <row r="155" spans="21:22" ht="13.5">
      <c r="U155" s="78">
        <v>7250000</v>
      </c>
      <c r="V155" s="78">
        <v>0.41</v>
      </c>
    </row>
    <row r="156" spans="21:22" ht="13.5">
      <c r="U156" s="78">
        <v>7300000</v>
      </c>
      <c r="V156" s="78">
        <v>0.4</v>
      </c>
    </row>
    <row r="157" spans="21:22" ht="13.5">
      <c r="U157" s="78">
        <v>7350000</v>
      </c>
      <c r="V157" s="78">
        <v>0.4</v>
      </c>
    </row>
    <row r="158" spans="21:22" ht="13.5">
      <c r="U158" s="78">
        <v>7400000</v>
      </c>
      <c r="V158" s="78">
        <v>0.4</v>
      </c>
    </row>
    <row r="159" spans="21:22" ht="13.5">
      <c r="U159" s="78">
        <v>7450000</v>
      </c>
      <c r="V159" s="78">
        <v>0.4</v>
      </c>
    </row>
    <row r="160" spans="21:22" ht="13.5">
      <c r="U160" s="78">
        <v>7500000</v>
      </c>
      <c r="V160" s="78">
        <v>0.4</v>
      </c>
    </row>
    <row r="161" spans="21:22" ht="13.5">
      <c r="U161" s="78">
        <v>7550000</v>
      </c>
      <c r="V161" s="78">
        <v>0.4</v>
      </c>
    </row>
    <row r="162" spans="21:22" ht="13.5">
      <c r="U162" s="78">
        <v>7600000</v>
      </c>
      <c r="V162" s="78">
        <v>0.4</v>
      </c>
    </row>
    <row r="163" spans="21:22" ht="13.5">
      <c r="U163" s="78">
        <v>7650000</v>
      </c>
      <c r="V163" s="78">
        <v>0.4</v>
      </c>
    </row>
    <row r="164" spans="21:22" ht="13.5">
      <c r="U164" s="78">
        <v>7700000</v>
      </c>
      <c r="V164" s="78">
        <v>0.4</v>
      </c>
    </row>
    <row r="165" spans="21:22" ht="13.5">
      <c r="U165" s="78">
        <v>7750000</v>
      </c>
      <c r="V165" s="78">
        <v>0.4</v>
      </c>
    </row>
    <row r="166" spans="21:22" ht="13.5">
      <c r="U166" s="78">
        <v>7800000</v>
      </c>
      <c r="V166" s="78">
        <v>0.4</v>
      </c>
    </row>
    <row r="167" spans="21:22" ht="13.5">
      <c r="U167" s="78">
        <v>7850000</v>
      </c>
      <c r="V167" s="78">
        <v>0.4</v>
      </c>
    </row>
    <row r="168" spans="21:22" ht="13.5">
      <c r="U168" s="78">
        <v>7900000</v>
      </c>
      <c r="V168" s="78">
        <v>0.4</v>
      </c>
    </row>
    <row r="169" spans="21:22" ht="13.5">
      <c r="U169" s="78">
        <v>7950000</v>
      </c>
      <c r="V169" s="78">
        <v>0.4</v>
      </c>
    </row>
    <row r="170" spans="21:22" ht="13.5">
      <c r="U170" s="78">
        <v>8000000</v>
      </c>
      <c r="V170" s="78">
        <v>0.4</v>
      </c>
    </row>
    <row r="171" spans="21:22" ht="13.5">
      <c r="U171" s="78">
        <v>8050000</v>
      </c>
      <c r="V171" s="78">
        <v>0.4</v>
      </c>
    </row>
    <row r="172" spans="21:22" ht="13.5">
      <c r="U172" s="78">
        <v>8100000</v>
      </c>
      <c r="V172" s="78">
        <v>0.4</v>
      </c>
    </row>
    <row r="173" spans="21:22" ht="13.5">
      <c r="U173" s="78">
        <v>8150000</v>
      </c>
      <c r="V173" s="78">
        <v>0.4</v>
      </c>
    </row>
    <row r="174" spans="21:22" ht="13.5">
      <c r="U174" s="78">
        <v>8200000</v>
      </c>
      <c r="V174" s="78">
        <v>0.4</v>
      </c>
    </row>
    <row r="175" spans="21:22" ht="13.5">
      <c r="U175" s="78">
        <v>8250000</v>
      </c>
      <c r="V175" s="78">
        <v>0.4</v>
      </c>
    </row>
    <row r="176" spans="21:22" ht="13.5">
      <c r="U176" s="78">
        <v>8300000</v>
      </c>
      <c r="V176" s="78">
        <v>0.4</v>
      </c>
    </row>
    <row r="177" spans="21:22" ht="13.5">
      <c r="U177" s="78">
        <v>8350000</v>
      </c>
      <c r="V177" s="78">
        <v>0.4</v>
      </c>
    </row>
    <row r="178" spans="21:22" ht="13.5">
      <c r="U178" s="78">
        <v>8400000</v>
      </c>
      <c r="V178" s="78">
        <v>0.4</v>
      </c>
    </row>
    <row r="179" spans="21:22" ht="13.5">
      <c r="U179" s="78">
        <v>8450000</v>
      </c>
      <c r="V179" s="78">
        <v>0.4</v>
      </c>
    </row>
    <row r="180" spans="21:22" ht="13.5">
      <c r="U180" s="78">
        <v>8500000</v>
      </c>
      <c r="V180" s="78">
        <v>0.4</v>
      </c>
    </row>
    <row r="181" spans="21:22" ht="13.5">
      <c r="U181" s="78">
        <v>8550000</v>
      </c>
      <c r="V181" s="78">
        <v>0.4</v>
      </c>
    </row>
    <row r="182" spans="21:22" ht="13.5">
      <c r="U182" s="78">
        <v>8600000</v>
      </c>
      <c r="V182" s="78">
        <v>0.4</v>
      </c>
    </row>
    <row r="183" spans="21:22" ht="13.5">
      <c r="U183" s="78">
        <v>8650000</v>
      </c>
      <c r="V183" s="78">
        <v>0.4</v>
      </c>
    </row>
    <row r="184" spans="21:22" ht="13.5">
      <c r="U184" s="78">
        <v>8700000</v>
      </c>
      <c r="V184" s="78">
        <v>0.4</v>
      </c>
    </row>
    <row r="185" spans="21:22" ht="13.5">
      <c r="U185" s="78">
        <v>8750000</v>
      </c>
      <c r="V185" s="78">
        <v>0.4</v>
      </c>
    </row>
    <row r="186" spans="21:22" ht="13.5">
      <c r="U186" s="78">
        <v>8800000</v>
      </c>
      <c r="V186" s="78">
        <v>0.4</v>
      </c>
    </row>
    <row r="187" spans="21:22" ht="13.5">
      <c r="U187" s="78">
        <v>8850000</v>
      </c>
      <c r="V187" s="78">
        <v>0.4</v>
      </c>
    </row>
    <row r="188" spans="21:22" ht="13.5">
      <c r="U188" s="78">
        <v>8900000</v>
      </c>
      <c r="V188" s="78">
        <v>0.4</v>
      </c>
    </row>
    <row r="189" spans="21:22" ht="13.5">
      <c r="U189" s="78">
        <v>8950000</v>
      </c>
      <c r="V189" s="78">
        <v>0.4</v>
      </c>
    </row>
    <row r="190" spans="21:22" ht="13.5">
      <c r="U190" s="78">
        <v>9000000</v>
      </c>
      <c r="V190" s="78">
        <v>0.4</v>
      </c>
    </row>
    <row r="191" spans="21:22" ht="13.5">
      <c r="U191" s="78">
        <v>9050000</v>
      </c>
      <c r="V191" s="78">
        <v>0.4</v>
      </c>
    </row>
    <row r="192" spans="21:22" ht="13.5">
      <c r="U192" s="78">
        <v>9100000</v>
      </c>
      <c r="V192" s="78">
        <v>0.4</v>
      </c>
    </row>
    <row r="193" spans="21:22" ht="13.5">
      <c r="U193" s="78">
        <v>9150000</v>
      </c>
      <c r="V193" s="78">
        <v>0.4</v>
      </c>
    </row>
    <row r="194" spans="21:22" ht="13.5">
      <c r="U194" s="78">
        <v>9200000</v>
      </c>
      <c r="V194" s="78">
        <v>0.4</v>
      </c>
    </row>
    <row r="195" spans="21:22" ht="13.5">
      <c r="U195" s="78">
        <v>9250000</v>
      </c>
      <c r="V195" s="78">
        <v>0.4</v>
      </c>
    </row>
    <row r="196" spans="21:22" ht="13.5">
      <c r="U196" s="78">
        <v>9300000</v>
      </c>
      <c r="V196" s="78">
        <v>0.4</v>
      </c>
    </row>
    <row r="197" spans="21:22" ht="13.5">
      <c r="U197" s="78">
        <v>9350000</v>
      </c>
      <c r="V197" s="78">
        <v>0.4</v>
      </c>
    </row>
    <row r="198" spans="21:22" ht="13.5">
      <c r="U198" s="78">
        <v>9400000</v>
      </c>
      <c r="V198" s="78">
        <v>0.4</v>
      </c>
    </row>
    <row r="199" spans="21:22" ht="13.5">
      <c r="U199" s="78">
        <v>9450000</v>
      </c>
      <c r="V199" s="78">
        <v>0.4</v>
      </c>
    </row>
    <row r="200" spans="21:22" ht="13.5">
      <c r="U200" s="78">
        <v>9500000</v>
      </c>
      <c r="V200" s="78">
        <v>0.4</v>
      </c>
    </row>
    <row r="201" spans="21:22" ht="13.5">
      <c r="U201" s="78">
        <v>9550000</v>
      </c>
      <c r="V201" s="78">
        <v>0.4</v>
      </c>
    </row>
    <row r="202" spans="21:22" ht="13.5">
      <c r="U202" s="78">
        <v>9600000</v>
      </c>
      <c r="V202" s="78">
        <v>0.4</v>
      </c>
    </row>
    <row r="203" spans="21:22" ht="13.5">
      <c r="U203" s="78">
        <v>9650000</v>
      </c>
      <c r="V203" s="78">
        <v>0.4</v>
      </c>
    </row>
    <row r="204" spans="21:22" ht="13.5">
      <c r="U204" s="78">
        <v>9700000</v>
      </c>
      <c r="V204" s="78">
        <v>0.4</v>
      </c>
    </row>
    <row r="205" spans="21:22" ht="13.5">
      <c r="U205" s="78">
        <v>9750000</v>
      </c>
      <c r="V205" s="78">
        <v>0.4</v>
      </c>
    </row>
    <row r="206" spans="21:22" ht="13.5">
      <c r="U206" s="78">
        <v>9800000</v>
      </c>
      <c r="V206" s="78">
        <v>0.4</v>
      </c>
    </row>
    <row r="207" spans="21:22" ht="13.5">
      <c r="U207" s="78">
        <v>9850000</v>
      </c>
      <c r="V207" s="78">
        <v>0.4</v>
      </c>
    </row>
    <row r="208" spans="21:22" ht="13.5">
      <c r="U208" s="78">
        <v>9900000</v>
      </c>
      <c r="V208" s="78">
        <v>0.4</v>
      </c>
    </row>
    <row r="209" spans="21:22" ht="13.5">
      <c r="U209" s="78">
        <v>9950000</v>
      </c>
      <c r="V209" s="78">
        <v>0.4</v>
      </c>
    </row>
    <row r="210" spans="21:22" ht="13.5">
      <c r="U210" s="78">
        <v>10000000</v>
      </c>
      <c r="V210" s="78">
        <v>0.4</v>
      </c>
    </row>
    <row r="211" spans="21:22" ht="13.5">
      <c r="U211" s="78">
        <v>10050000</v>
      </c>
      <c r="V211" s="78">
        <v>0.4</v>
      </c>
    </row>
    <row r="212" spans="21:22" ht="13.5">
      <c r="U212" s="78">
        <v>10100000</v>
      </c>
      <c r="V212" s="78">
        <v>0.4</v>
      </c>
    </row>
    <row r="213" spans="21:22" ht="13.5">
      <c r="U213" s="78">
        <v>10150000</v>
      </c>
      <c r="V213" s="78">
        <v>0.4</v>
      </c>
    </row>
    <row r="214" spans="21:22" ht="13.5">
      <c r="U214" s="78">
        <v>10200000</v>
      </c>
      <c r="V214" s="78">
        <v>0.4</v>
      </c>
    </row>
    <row r="215" spans="21:22" ht="13.5">
      <c r="U215" s="78">
        <v>10250000</v>
      </c>
      <c r="V215" s="78">
        <v>0.4</v>
      </c>
    </row>
    <row r="216" spans="21:22" ht="13.5">
      <c r="U216" s="78">
        <v>10300000</v>
      </c>
      <c r="V216" s="78">
        <v>0.4</v>
      </c>
    </row>
    <row r="217" spans="21:22" ht="13.5">
      <c r="U217" s="78">
        <v>10350000</v>
      </c>
      <c r="V217" s="78">
        <v>0.4</v>
      </c>
    </row>
    <row r="218" spans="21:22" ht="13.5">
      <c r="U218" s="78">
        <v>10400000</v>
      </c>
      <c r="V218" s="78">
        <v>0.4</v>
      </c>
    </row>
    <row r="219" spans="21:22" ht="13.5">
      <c r="U219" s="78">
        <v>10450000</v>
      </c>
      <c r="V219" s="78">
        <v>0.4</v>
      </c>
    </row>
    <row r="220" spans="21:22" ht="13.5">
      <c r="U220" s="78">
        <v>10500000</v>
      </c>
      <c r="V220" s="78">
        <v>0.4</v>
      </c>
    </row>
    <row r="221" spans="21:22" ht="13.5">
      <c r="U221" s="78">
        <v>10550000</v>
      </c>
      <c r="V221" s="78">
        <v>0.4</v>
      </c>
    </row>
    <row r="222" spans="21:22" ht="13.5">
      <c r="U222" s="78">
        <v>10600000</v>
      </c>
      <c r="V222" s="78">
        <v>0.4</v>
      </c>
    </row>
    <row r="223" spans="21:22" ht="13.5">
      <c r="U223" s="78">
        <v>10650000</v>
      </c>
      <c r="V223" s="78">
        <v>0.4</v>
      </c>
    </row>
    <row r="224" spans="21:22" ht="13.5">
      <c r="U224" s="78">
        <v>10700000</v>
      </c>
      <c r="V224" s="78">
        <v>0.4</v>
      </c>
    </row>
    <row r="225" spans="21:22" ht="13.5">
      <c r="U225" s="78">
        <v>10750000</v>
      </c>
      <c r="V225" s="78">
        <v>0.4</v>
      </c>
    </row>
    <row r="226" spans="21:22" ht="13.5">
      <c r="U226" s="78">
        <v>10800000</v>
      </c>
      <c r="V226" s="78">
        <v>0.4</v>
      </c>
    </row>
    <row r="227" spans="21:22" ht="13.5">
      <c r="U227" s="78">
        <v>10850000</v>
      </c>
      <c r="V227" s="78">
        <v>0.4</v>
      </c>
    </row>
    <row r="228" spans="21:22" ht="13.5">
      <c r="U228" s="78">
        <v>10900000</v>
      </c>
      <c r="V228" s="78">
        <v>0.4</v>
      </c>
    </row>
    <row r="229" spans="21:22" ht="13.5">
      <c r="U229" s="78">
        <v>10950000</v>
      </c>
      <c r="V229" s="78">
        <v>0.4</v>
      </c>
    </row>
    <row r="230" spans="21:22" ht="13.5">
      <c r="U230" s="78">
        <v>11000000</v>
      </c>
      <c r="V230" s="78">
        <v>0.4</v>
      </c>
    </row>
    <row r="231" spans="21:22" ht="13.5">
      <c r="U231" s="78">
        <v>11050000</v>
      </c>
      <c r="V231" s="78">
        <v>0.4</v>
      </c>
    </row>
    <row r="232" spans="21:22" ht="13.5">
      <c r="U232" s="78">
        <v>11100000</v>
      </c>
      <c r="V232" s="78">
        <v>0.4</v>
      </c>
    </row>
    <row r="233" spans="21:22" ht="13.5">
      <c r="U233" s="78">
        <v>11150000</v>
      </c>
      <c r="V233" s="78">
        <v>0.4</v>
      </c>
    </row>
    <row r="234" spans="21:22" ht="13.5">
      <c r="U234" s="78">
        <v>11200000</v>
      </c>
      <c r="V234" s="78">
        <v>0.4</v>
      </c>
    </row>
    <row r="235" spans="21:22" ht="13.5">
      <c r="U235" s="78">
        <v>11250000</v>
      </c>
      <c r="V235" s="78">
        <v>0.4</v>
      </c>
    </row>
    <row r="236" spans="21:22" ht="13.5">
      <c r="U236" s="78">
        <v>11300000</v>
      </c>
      <c r="V236" s="78">
        <v>0.4</v>
      </c>
    </row>
    <row r="237" spans="21:22" ht="13.5">
      <c r="U237" s="78">
        <v>11350000</v>
      </c>
      <c r="V237" s="78">
        <v>0.4</v>
      </c>
    </row>
    <row r="238" spans="21:22" ht="13.5">
      <c r="U238" s="78">
        <v>11400000</v>
      </c>
      <c r="V238" s="78">
        <v>0.4</v>
      </c>
    </row>
    <row r="239" spans="21:22" ht="13.5">
      <c r="U239" s="78">
        <v>11450000</v>
      </c>
      <c r="V239" s="78">
        <v>0.4</v>
      </c>
    </row>
    <row r="240" spans="21:22" ht="13.5">
      <c r="U240" s="78">
        <v>11500000</v>
      </c>
      <c r="V240" s="78">
        <v>0.4</v>
      </c>
    </row>
    <row r="241" spans="21:22" ht="13.5">
      <c r="U241" s="78">
        <v>11550000</v>
      </c>
      <c r="V241" s="78">
        <v>0.4</v>
      </c>
    </row>
    <row r="242" spans="21:22" ht="13.5">
      <c r="U242" s="78">
        <v>11600000</v>
      </c>
      <c r="V242" s="78">
        <v>0.4</v>
      </c>
    </row>
    <row r="243" spans="21:22" ht="13.5">
      <c r="U243" s="78">
        <v>11650000</v>
      </c>
      <c r="V243" s="78">
        <v>0.4</v>
      </c>
    </row>
    <row r="244" spans="21:22" ht="13.5">
      <c r="U244" s="78">
        <v>11700000</v>
      </c>
      <c r="V244" s="78">
        <v>0.4</v>
      </c>
    </row>
    <row r="245" spans="21:22" ht="13.5">
      <c r="U245" s="78">
        <v>11750000</v>
      </c>
      <c r="V245" s="78">
        <v>0.4</v>
      </c>
    </row>
    <row r="246" spans="21:22" ht="13.5">
      <c r="U246" s="78">
        <v>11800000</v>
      </c>
      <c r="V246" s="78">
        <v>0.4</v>
      </c>
    </row>
    <row r="247" spans="21:22" ht="13.5">
      <c r="U247" s="78">
        <v>11850000</v>
      </c>
      <c r="V247" s="78">
        <v>0.4</v>
      </c>
    </row>
    <row r="248" spans="21:22" ht="13.5">
      <c r="U248" s="78">
        <v>11900000</v>
      </c>
      <c r="V248" s="78">
        <v>0.4</v>
      </c>
    </row>
    <row r="249" spans="21:22" ht="13.5">
      <c r="U249" s="78">
        <v>11950000</v>
      </c>
      <c r="V249" s="78">
        <v>0.4</v>
      </c>
    </row>
    <row r="250" spans="21:22" ht="13.5">
      <c r="U250" s="78">
        <v>12000000</v>
      </c>
      <c r="V250" s="78">
        <v>0.4</v>
      </c>
    </row>
    <row r="251" spans="21:22" ht="13.5">
      <c r="U251" s="78">
        <v>12050000</v>
      </c>
      <c r="V251" s="78">
        <v>0.4</v>
      </c>
    </row>
    <row r="252" spans="21:22" ht="13.5">
      <c r="U252" s="78">
        <v>12100000</v>
      </c>
      <c r="V252" s="78">
        <v>0.4</v>
      </c>
    </row>
    <row r="253" spans="21:22" ht="13.5">
      <c r="U253" s="78">
        <v>12150000</v>
      </c>
      <c r="V253" s="78">
        <v>0.4</v>
      </c>
    </row>
    <row r="254" spans="21:22" ht="13.5">
      <c r="U254" s="78">
        <v>12200000</v>
      </c>
      <c r="V254" s="78">
        <v>0.4</v>
      </c>
    </row>
    <row r="255" spans="21:22" ht="13.5">
      <c r="U255" s="78">
        <v>12250000</v>
      </c>
      <c r="V255" s="78">
        <v>0.4</v>
      </c>
    </row>
    <row r="256" spans="21:22" ht="13.5">
      <c r="U256" s="78">
        <v>12300000</v>
      </c>
      <c r="V256" s="78">
        <v>0.4</v>
      </c>
    </row>
    <row r="257" spans="21:22" ht="13.5">
      <c r="U257" s="78">
        <v>12350000</v>
      </c>
      <c r="V257" s="78">
        <v>0.4</v>
      </c>
    </row>
    <row r="258" spans="21:22" ht="13.5">
      <c r="U258" s="78">
        <v>12400000</v>
      </c>
      <c r="V258" s="78">
        <v>0.4</v>
      </c>
    </row>
    <row r="259" spans="21:22" ht="13.5">
      <c r="U259" s="78">
        <v>12450000</v>
      </c>
      <c r="V259" s="78">
        <v>0.4</v>
      </c>
    </row>
    <row r="260" spans="21:22" ht="13.5">
      <c r="U260" s="78">
        <v>12500000</v>
      </c>
      <c r="V260" s="78">
        <v>0.4</v>
      </c>
    </row>
    <row r="261" spans="21:22" ht="13.5">
      <c r="U261" s="78">
        <v>12550000</v>
      </c>
      <c r="V261" s="78">
        <v>0.4</v>
      </c>
    </row>
    <row r="262" spans="21:22" ht="13.5">
      <c r="U262" s="78">
        <v>12600000</v>
      </c>
      <c r="V262" s="78">
        <v>0.4</v>
      </c>
    </row>
    <row r="263" spans="21:22" ht="13.5">
      <c r="U263" s="78">
        <v>12650000</v>
      </c>
      <c r="V263" s="78">
        <v>0.4</v>
      </c>
    </row>
    <row r="264" spans="21:22" ht="13.5">
      <c r="U264" s="78">
        <v>12700000</v>
      </c>
      <c r="V264" s="78">
        <v>0.4</v>
      </c>
    </row>
    <row r="265" spans="21:22" ht="13.5">
      <c r="U265" s="78">
        <v>12750000</v>
      </c>
      <c r="V265" s="78">
        <v>0.4</v>
      </c>
    </row>
    <row r="266" spans="21:22" ht="13.5">
      <c r="U266" s="78">
        <v>12800000</v>
      </c>
      <c r="V266" s="78">
        <v>0.4</v>
      </c>
    </row>
    <row r="267" spans="21:22" ht="13.5">
      <c r="U267" s="78">
        <v>12850000</v>
      </c>
      <c r="V267" s="78">
        <v>0.4</v>
      </c>
    </row>
    <row r="268" spans="21:22" ht="13.5">
      <c r="U268" s="78">
        <v>12900000</v>
      </c>
      <c r="V268" s="78">
        <v>0.4</v>
      </c>
    </row>
    <row r="269" spans="21:22" ht="13.5">
      <c r="U269" s="78">
        <v>12950000</v>
      </c>
      <c r="V269" s="78">
        <v>0.4</v>
      </c>
    </row>
    <row r="270" spans="21:22" ht="13.5">
      <c r="U270" s="78">
        <v>13000000</v>
      </c>
      <c r="V270" s="78">
        <v>0.4</v>
      </c>
    </row>
    <row r="271" spans="21:22" ht="13.5">
      <c r="U271" s="78">
        <v>13050000</v>
      </c>
      <c r="V271" s="78">
        <v>0.4</v>
      </c>
    </row>
    <row r="272" spans="21:22" ht="13.5">
      <c r="U272" s="78">
        <v>13100000</v>
      </c>
      <c r="V272" s="78">
        <v>0.4</v>
      </c>
    </row>
    <row r="273" spans="21:22" ht="13.5">
      <c r="U273" s="78">
        <v>13150000</v>
      </c>
      <c r="V273" s="78">
        <v>0.4</v>
      </c>
    </row>
    <row r="274" spans="21:22" ht="13.5">
      <c r="U274" s="78">
        <v>13200000</v>
      </c>
      <c r="V274" s="78">
        <v>0.4</v>
      </c>
    </row>
    <row r="275" spans="21:22" ht="13.5">
      <c r="U275" s="78">
        <v>13250000</v>
      </c>
      <c r="V275" s="78">
        <v>0.4</v>
      </c>
    </row>
    <row r="276" spans="21:22" ht="13.5">
      <c r="U276" s="78">
        <v>13300000</v>
      </c>
      <c r="V276" s="78">
        <v>0.39</v>
      </c>
    </row>
    <row r="277" spans="21:22" ht="13.5">
      <c r="U277" s="78">
        <v>13350000</v>
      </c>
      <c r="V277" s="78">
        <v>0.39</v>
      </c>
    </row>
    <row r="278" spans="21:22" ht="13.5">
      <c r="U278" s="78">
        <v>13400000</v>
      </c>
      <c r="V278" s="78">
        <v>0.39</v>
      </c>
    </row>
    <row r="279" spans="21:22" ht="13.5">
      <c r="U279" s="78">
        <v>13450000</v>
      </c>
      <c r="V279" s="78">
        <v>0.39</v>
      </c>
    </row>
    <row r="280" spans="21:22" ht="13.5">
      <c r="U280" s="78">
        <v>13500000</v>
      </c>
      <c r="V280" s="78">
        <v>0.39</v>
      </c>
    </row>
    <row r="281" spans="21:22" ht="13.5">
      <c r="U281" s="78">
        <v>13550000</v>
      </c>
      <c r="V281" s="78">
        <v>0.39</v>
      </c>
    </row>
    <row r="282" spans="21:22" ht="13.5">
      <c r="U282" s="78">
        <v>13600000</v>
      </c>
      <c r="V282" s="78">
        <v>0.39</v>
      </c>
    </row>
    <row r="283" spans="21:22" ht="13.5">
      <c r="U283" s="78">
        <v>13650000</v>
      </c>
      <c r="V283" s="78">
        <v>0.39</v>
      </c>
    </row>
    <row r="284" spans="21:22" ht="13.5">
      <c r="U284" s="78">
        <v>13700000</v>
      </c>
      <c r="V284" s="78">
        <v>0.39</v>
      </c>
    </row>
    <row r="285" spans="21:22" ht="13.5">
      <c r="U285" s="78">
        <v>13750000</v>
      </c>
      <c r="V285" s="78">
        <v>0.39</v>
      </c>
    </row>
    <row r="286" spans="21:22" ht="13.5">
      <c r="U286" s="78">
        <v>13800000</v>
      </c>
      <c r="V286" s="78">
        <v>0.39</v>
      </c>
    </row>
    <row r="287" spans="21:22" ht="13.5">
      <c r="U287" s="78">
        <v>13850000</v>
      </c>
      <c r="V287" s="78">
        <v>0.39</v>
      </c>
    </row>
    <row r="288" spans="21:22" ht="13.5">
      <c r="U288" s="78">
        <v>13900000</v>
      </c>
      <c r="V288" s="78">
        <v>0.39</v>
      </c>
    </row>
    <row r="289" spans="21:22" ht="13.5">
      <c r="U289" s="78">
        <v>13950000</v>
      </c>
      <c r="V289" s="78">
        <v>0.39</v>
      </c>
    </row>
    <row r="290" spans="21:22" ht="13.5">
      <c r="U290" s="78">
        <v>14000000</v>
      </c>
      <c r="V290" s="78">
        <v>0.39</v>
      </c>
    </row>
    <row r="291" spans="21:22" ht="13.5">
      <c r="U291" s="78">
        <v>14050000</v>
      </c>
      <c r="V291" s="78">
        <v>0.39</v>
      </c>
    </row>
    <row r="292" spans="21:22" ht="13.5">
      <c r="U292" s="78">
        <v>14100000</v>
      </c>
      <c r="V292" s="78">
        <v>0.39</v>
      </c>
    </row>
    <row r="293" spans="21:22" ht="13.5">
      <c r="U293" s="78">
        <v>14150000</v>
      </c>
      <c r="V293" s="78">
        <v>0.39</v>
      </c>
    </row>
    <row r="294" spans="21:22" ht="13.5">
      <c r="U294" s="78">
        <v>14200000</v>
      </c>
      <c r="V294" s="78">
        <v>0.39</v>
      </c>
    </row>
    <row r="295" spans="21:22" ht="13.5">
      <c r="U295" s="78">
        <v>14250000</v>
      </c>
      <c r="V295" s="78">
        <v>0.39</v>
      </c>
    </row>
    <row r="296" spans="21:22" ht="13.5">
      <c r="U296" s="78">
        <v>14300000</v>
      </c>
      <c r="V296" s="78">
        <v>0.39</v>
      </c>
    </row>
    <row r="297" spans="21:22" ht="13.5">
      <c r="U297" s="78">
        <v>14350000</v>
      </c>
      <c r="V297" s="78">
        <v>0.39</v>
      </c>
    </row>
    <row r="298" spans="21:22" ht="13.5">
      <c r="U298" s="78">
        <v>14400000</v>
      </c>
      <c r="V298" s="78">
        <v>0.39</v>
      </c>
    </row>
    <row r="299" spans="21:22" ht="13.5">
      <c r="U299" s="78">
        <v>14450000</v>
      </c>
      <c r="V299" s="78">
        <v>0.39</v>
      </c>
    </row>
    <row r="300" spans="21:22" ht="13.5">
      <c r="U300" s="78">
        <v>14500000</v>
      </c>
      <c r="V300" s="78">
        <v>0.39</v>
      </c>
    </row>
    <row r="301" spans="21:22" ht="13.5">
      <c r="U301" s="78">
        <v>14550000</v>
      </c>
      <c r="V301" s="78">
        <v>0.39</v>
      </c>
    </row>
    <row r="302" spans="21:22" ht="13.5">
      <c r="U302" s="78">
        <v>14600000</v>
      </c>
      <c r="V302" s="78">
        <v>0.39</v>
      </c>
    </row>
    <row r="303" spans="21:22" ht="13.5">
      <c r="U303" s="78">
        <v>14650000</v>
      </c>
      <c r="V303" s="78">
        <v>0.39</v>
      </c>
    </row>
    <row r="304" spans="21:22" ht="13.5">
      <c r="U304" s="78">
        <v>14700000</v>
      </c>
      <c r="V304" s="78">
        <v>0.39</v>
      </c>
    </row>
    <row r="305" spans="21:22" ht="13.5">
      <c r="U305" s="78">
        <v>14750000</v>
      </c>
      <c r="V305" s="78">
        <v>0.39</v>
      </c>
    </row>
    <row r="306" spans="21:22" ht="13.5">
      <c r="U306" s="78">
        <v>14800000</v>
      </c>
      <c r="V306" s="78">
        <v>0.39</v>
      </c>
    </row>
    <row r="307" spans="21:22" ht="13.5">
      <c r="U307" s="78">
        <v>14850000</v>
      </c>
      <c r="V307" s="78">
        <v>0.39</v>
      </c>
    </row>
    <row r="308" spans="21:22" ht="13.5">
      <c r="U308" s="78">
        <v>14900000</v>
      </c>
      <c r="V308" s="78">
        <v>0.39</v>
      </c>
    </row>
    <row r="309" spans="21:22" ht="13.5">
      <c r="U309" s="78">
        <v>14950000</v>
      </c>
      <c r="V309" s="78">
        <v>0.39</v>
      </c>
    </row>
    <row r="310" spans="21:22" ht="13.5">
      <c r="U310" s="78">
        <v>15000000</v>
      </c>
      <c r="V310" s="78">
        <v>0.39</v>
      </c>
    </row>
    <row r="311" spans="21:22" ht="13.5">
      <c r="U311" s="78">
        <v>15050000</v>
      </c>
      <c r="V311" s="78">
        <v>0.39</v>
      </c>
    </row>
    <row r="312" spans="21:22" ht="13.5">
      <c r="U312" s="78">
        <v>15100000</v>
      </c>
      <c r="V312" s="78">
        <v>0.39</v>
      </c>
    </row>
    <row r="313" spans="21:22" ht="13.5">
      <c r="U313" s="78">
        <v>15150000</v>
      </c>
      <c r="V313" s="78">
        <v>0.39</v>
      </c>
    </row>
    <row r="314" spans="21:22" ht="13.5">
      <c r="U314" s="78">
        <v>15200000</v>
      </c>
      <c r="V314" s="78">
        <v>0.39</v>
      </c>
    </row>
    <row r="315" spans="21:22" ht="13.5">
      <c r="U315" s="78">
        <v>15250000</v>
      </c>
      <c r="V315" s="78">
        <v>0.39</v>
      </c>
    </row>
    <row r="316" spans="21:22" ht="13.5">
      <c r="U316" s="78">
        <v>15300000</v>
      </c>
      <c r="V316" s="78">
        <v>0.39</v>
      </c>
    </row>
    <row r="317" spans="21:22" ht="13.5">
      <c r="U317" s="78">
        <v>15350000</v>
      </c>
      <c r="V317" s="78">
        <v>0.39</v>
      </c>
    </row>
    <row r="318" spans="21:22" ht="13.5">
      <c r="U318" s="78">
        <v>15400000</v>
      </c>
      <c r="V318" s="78">
        <v>0.39</v>
      </c>
    </row>
    <row r="319" spans="21:22" ht="13.5">
      <c r="U319" s="78">
        <v>15450000</v>
      </c>
      <c r="V319" s="78">
        <v>0.39</v>
      </c>
    </row>
    <row r="320" spans="21:22" ht="13.5">
      <c r="U320" s="78">
        <v>15500000</v>
      </c>
      <c r="V320" s="78">
        <v>0.39</v>
      </c>
    </row>
    <row r="321" spans="21:22" ht="13.5">
      <c r="U321" s="78">
        <v>15550000</v>
      </c>
      <c r="V321" s="78">
        <v>0.39</v>
      </c>
    </row>
    <row r="322" spans="21:22" ht="13.5">
      <c r="U322" s="78">
        <v>15600000</v>
      </c>
      <c r="V322" s="78">
        <v>0.39</v>
      </c>
    </row>
    <row r="323" spans="21:22" ht="13.5">
      <c r="U323" s="78">
        <v>15650000</v>
      </c>
      <c r="V323" s="78">
        <v>0.39</v>
      </c>
    </row>
    <row r="324" spans="21:22" ht="13.5">
      <c r="U324" s="78">
        <v>15700000</v>
      </c>
      <c r="V324" s="78">
        <v>0.39</v>
      </c>
    </row>
    <row r="325" spans="21:22" ht="13.5">
      <c r="U325" s="78">
        <v>15750000</v>
      </c>
      <c r="V325" s="78">
        <v>0.39</v>
      </c>
    </row>
    <row r="326" spans="21:22" ht="13.5">
      <c r="U326" s="78">
        <v>15800000</v>
      </c>
      <c r="V326" s="78">
        <v>0.39</v>
      </c>
    </row>
    <row r="327" spans="21:22" ht="13.5">
      <c r="U327" s="78">
        <v>15850000</v>
      </c>
      <c r="V327" s="78">
        <v>0.39</v>
      </c>
    </row>
    <row r="328" spans="21:22" ht="13.5">
      <c r="U328" s="78">
        <v>15900000</v>
      </c>
      <c r="V328" s="78">
        <v>0.39</v>
      </c>
    </row>
    <row r="329" spans="21:22" ht="13.5">
      <c r="U329" s="78">
        <v>15950000</v>
      </c>
      <c r="V329" s="78">
        <v>0.39</v>
      </c>
    </row>
    <row r="330" spans="21:22" ht="13.5">
      <c r="U330" s="78">
        <v>16000000</v>
      </c>
      <c r="V330" s="78">
        <v>0.39</v>
      </c>
    </row>
    <row r="331" spans="21:22" ht="13.5">
      <c r="U331" s="78">
        <v>16050000</v>
      </c>
      <c r="V331" s="78">
        <v>0.39</v>
      </c>
    </row>
    <row r="332" spans="21:22" ht="13.5">
      <c r="U332" s="78">
        <v>16100000</v>
      </c>
      <c r="V332" s="78">
        <v>0.39</v>
      </c>
    </row>
    <row r="333" spans="21:22" ht="13.5">
      <c r="U333" s="78">
        <v>16150000</v>
      </c>
      <c r="V333" s="78">
        <v>0.39</v>
      </c>
    </row>
    <row r="334" spans="21:22" ht="13.5">
      <c r="U334" s="78">
        <v>16200000</v>
      </c>
      <c r="V334" s="78">
        <v>0.39</v>
      </c>
    </row>
    <row r="335" spans="21:22" ht="13.5">
      <c r="U335" s="78">
        <v>16250000</v>
      </c>
      <c r="V335" s="78">
        <v>0.39</v>
      </c>
    </row>
    <row r="336" spans="21:22" ht="13.5">
      <c r="U336" s="78">
        <v>16300000</v>
      </c>
      <c r="V336" s="78">
        <v>0.39</v>
      </c>
    </row>
    <row r="337" spans="21:22" ht="13.5">
      <c r="U337" s="78">
        <v>16350000</v>
      </c>
      <c r="V337" s="78">
        <v>0.39</v>
      </c>
    </row>
    <row r="338" spans="21:22" ht="13.5">
      <c r="U338" s="78">
        <v>16400000</v>
      </c>
      <c r="V338" s="78">
        <v>0.39</v>
      </c>
    </row>
    <row r="339" spans="21:22" ht="13.5">
      <c r="U339" s="78">
        <v>16450000</v>
      </c>
      <c r="V339" s="78">
        <v>0.39</v>
      </c>
    </row>
    <row r="340" spans="21:22" ht="13.5">
      <c r="U340" s="78">
        <v>16500000</v>
      </c>
      <c r="V340" s="78">
        <v>0.39</v>
      </c>
    </row>
    <row r="341" spans="21:22" ht="13.5">
      <c r="U341" s="78">
        <v>16550000</v>
      </c>
      <c r="V341" s="78">
        <v>0.39</v>
      </c>
    </row>
    <row r="342" spans="21:22" ht="13.5">
      <c r="U342" s="78">
        <v>16600000</v>
      </c>
      <c r="V342" s="78">
        <v>0.39</v>
      </c>
    </row>
    <row r="343" spans="21:22" ht="13.5">
      <c r="U343" s="78">
        <v>16650000</v>
      </c>
      <c r="V343" s="78">
        <v>0.39</v>
      </c>
    </row>
    <row r="344" spans="21:22" ht="13.5">
      <c r="U344" s="78">
        <v>16700000</v>
      </c>
      <c r="V344" s="78">
        <v>0.39</v>
      </c>
    </row>
    <row r="345" spans="21:22" ht="13.5">
      <c r="U345" s="78">
        <v>16750000</v>
      </c>
      <c r="V345" s="78">
        <v>0.39</v>
      </c>
    </row>
    <row r="346" spans="21:22" ht="13.5">
      <c r="U346" s="78">
        <v>16800000</v>
      </c>
      <c r="V346" s="78">
        <v>0.39</v>
      </c>
    </row>
    <row r="347" spans="21:22" ht="13.5">
      <c r="U347" s="78">
        <v>16850000</v>
      </c>
      <c r="V347" s="78">
        <v>0.39</v>
      </c>
    </row>
    <row r="348" spans="21:22" ht="13.5">
      <c r="U348" s="78">
        <v>16900000</v>
      </c>
      <c r="V348" s="78">
        <v>0.39</v>
      </c>
    </row>
    <row r="349" spans="21:22" ht="13.5">
      <c r="U349" s="78">
        <v>16950000</v>
      </c>
      <c r="V349" s="78">
        <v>0.39</v>
      </c>
    </row>
    <row r="350" spans="21:22" ht="13.5">
      <c r="U350" s="78">
        <v>17000000</v>
      </c>
      <c r="V350" s="78">
        <v>0.39</v>
      </c>
    </row>
    <row r="351" spans="21:22" ht="13.5">
      <c r="U351" s="78">
        <v>17050000</v>
      </c>
      <c r="V351" s="78">
        <v>0.39</v>
      </c>
    </row>
    <row r="352" spans="21:22" ht="13.5">
      <c r="U352" s="78">
        <v>17100000</v>
      </c>
      <c r="V352" s="78">
        <v>0.39</v>
      </c>
    </row>
    <row r="353" spans="21:22" ht="13.5">
      <c r="U353" s="78">
        <v>17150000</v>
      </c>
      <c r="V353" s="78">
        <v>0.39</v>
      </c>
    </row>
    <row r="354" spans="21:22" ht="13.5">
      <c r="U354" s="78">
        <v>17200000</v>
      </c>
      <c r="V354" s="78">
        <v>0.39</v>
      </c>
    </row>
    <row r="355" spans="21:22" ht="13.5">
      <c r="U355" s="78">
        <v>17250000</v>
      </c>
      <c r="V355" s="78">
        <v>0.39</v>
      </c>
    </row>
    <row r="356" spans="21:22" ht="13.5">
      <c r="U356" s="78">
        <v>17300000</v>
      </c>
      <c r="V356" s="78">
        <v>0.39</v>
      </c>
    </row>
    <row r="357" spans="21:22" ht="13.5">
      <c r="U357" s="78">
        <v>17350000</v>
      </c>
      <c r="V357" s="78">
        <v>0.39</v>
      </c>
    </row>
    <row r="358" spans="21:22" ht="13.5">
      <c r="U358" s="78">
        <v>17400000</v>
      </c>
      <c r="V358" s="78">
        <v>0.39</v>
      </c>
    </row>
    <row r="359" spans="21:22" ht="13.5">
      <c r="U359" s="78">
        <v>17450000</v>
      </c>
      <c r="V359" s="78">
        <v>0.39</v>
      </c>
    </row>
    <row r="360" spans="21:22" ht="13.5">
      <c r="U360" s="78">
        <v>17500000</v>
      </c>
      <c r="V360" s="78">
        <v>0.38</v>
      </c>
    </row>
    <row r="361" spans="21:22" ht="13.5">
      <c r="U361" s="78">
        <v>17550000</v>
      </c>
      <c r="V361" s="78">
        <v>0.38</v>
      </c>
    </row>
    <row r="362" spans="21:22" ht="13.5">
      <c r="U362" s="78">
        <v>17600000</v>
      </c>
      <c r="V362" s="78">
        <v>0.38</v>
      </c>
    </row>
    <row r="363" spans="21:22" ht="13.5">
      <c r="U363" s="78">
        <v>17650000</v>
      </c>
      <c r="V363" s="78">
        <v>0.38</v>
      </c>
    </row>
    <row r="364" spans="21:22" ht="13.5">
      <c r="U364" s="78">
        <v>17700000</v>
      </c>
      <c r="V364" s="78">
        <v>0.38</v>
      </c>
    </row>
    <row r="365" spans="21:22" ht="13.5">
      <c r="U365" s="78">
        <v>17750000</v>
      </c>
      <c r="V365" s="78">
        <v>0.38</v>
      </c>
    </row>
    <row r="366" spans="21:22" ht="13.5">
      <c r="U366" s="78">
        <v>17800000</v>
      </c>
      <c r="V366" s="78">
        <v>0.38</v>
      </c>
    </row>
    <row r="367" spans="21:22" ht="13.5">
      <c r="U367" s="78">
        <v>17850000</v>
      </c>
      <c r="V367" s="78">
        <v>0.38</v>
      </c>
    </row>
    <row r="368" spans="21:22" ht="13.5">
      <c r="U368" s="78">
        <v>17900000</v>
      </c>
      <c r="V368" s="78">
        <v>0.38</v>
      </c>
    </row>
    <row r="369" spans="21:22" ht="13.5">
      <c r="U369" s="78">
        <v>17950000</v>
      </c>
      <c r="V369" s="78">
        <v>0.38</v>
      </c>
    </row>
    <row r="370" spans="21:22" ht="13.5">
      <c r="U370" s="78">
        <v>18000000</v>
      </c>
      <c r="V370" s="78">
        <v>0.38</v>
      </c>
    </row>
    <row r="371" spans="21:22" ht="13.5">
      <c r="U371" s="78">
        <v>18050000</v>
      </c>
      <c r="V371" s="78">
        <v>0.38</v>
      </c>
    </row>
    <row r="372" spans="21:22" ht="13.5">
      <c r="U372" s="78">
        <v>18100000</v>
      </c>
      <c r="V372" s="78">
        <v>0.38</v>
      </c>
    </row>
    <row r="373" spans="21:22" ht="13.5">
      <c r="U373" s="78">
        <v>18150000</v>
      </c>
      <c r="V373" s="78">
        <v>0.38</v>
      </c>
    </row>
    <row r="374" spans="21:22" ht="13.5">
      <c r="U374" s="78">
        <v>18200000</v>
      </c>
      <c r="V374" s="78">
        <v>0.38</v>
      </c>
    </row>
    <row r="375" spans="21:22" ht="13.5">
      <c r="U375" s="78">
        <v>18250000</v>
      </c>
      <c r="V375" s="78">
        <v>0.38</v>
      </c>
    </row>
    <row r="376" spans="21:22" ht="13.5">
      <c r="U376" s="78">
        <v>18300000</v>
      </c>
      <c r="V376" s="78">
        <v>0.38</v>
      </c>
    </row>
    <row r="377" spans="21:22" ht="13.5">
      <c r="U377" s="78">
        <v>18350000</v>
      </c>
      <c r="V377" s="78">
        <v>0.38</v>
      </c>
    </row>
    <row r="378" spans="21:22" ht="13.5">
      <c r="U378" s="78">
        <v>18400000</v>
      </c>
      <c r="V378" s="78">
        <v>0.38</v>
      </c>
    </row>
    <row r="379" spans="21:22" ht="13.5">
      <c r="U379" s="78">
        <v>18450000</v>
      </c>
      <c r="V379" s="78">
        <v>0.38</v>
      </c>
    </row>
    <row r="380" spans="21:22" ht="13.5">
      <c r="U380" s="78">
        <v>18500000</v>
      </c>
      <c r="V380" s="78">
        <v>0.38</v>
      </c>
    </row>
    <row r="381" spans="21:22" ht="13.5">
      <c r="U381" s="78">
        <v>18550000</v>
      </c>
      <c r="V381" s="78">
        <v>0.38</v>
      </c>
    </row>
    <row r="382" spans="21:22" ht="13.5">
      <c r="U382" s="78">
        <v>18600000</v>
      </c>
      <c r="V382" s="78">
        <v>0.38</v>
      </c>
    </row>
    <row r="383" spans="21:22" ht="13.5">
      <c r="U383" s="78">
        <v>18650000</v>
      </c>
      <c r="V383" s="78">
        <v>0.38</v>
      </c>
    </row>
    <row r="384" spans="21:22" ht="13.5">
      <c r="U384" s="78">
        <v>18700000</v>
      </c>
      <c r="V384" s="78">
        <v>0.38</v>
      </c>
    </row>
    <row r="385" spans="21:22" ht="13.5">
      <c r="U385" s="78">
        <v>18750000</v>
      </c>
      <c r="V385" s="78">
        <v>0.38</v>
      </c>
    </row>
    <row r="386" spans="21:22" ht="13.5">
      <c r="U386" s="78">
        <v>18800000</v>
      </c>
      <c r="V386" s="78">
        <v>0.38</v>
      </c>
    </row>
    <row r="387" spans="21:22" ht="13.5">
      <c r="U387" s="78">
        <v>18850000</v>
      </c>
      <c r="V387" s="78">
        <v>0.38</v>
      </c>
    </row>
    <row r="388" spans="21:22" ht="13.5">
      <c r="U388" s="78">
        <v>18900000</v>
      </c>
      <c r="V388" s="78">
        <v>0.38</v>
      </c>
    </row>
    <row r="389" spans="21:22" ht="13.5">
      <c r="U389" s="78">
        <v>18950000</v>
      </c>
      <c r="V389" s="78">
        <v>0.38</v>
      </c>
    </row>
    <row r="390" spans="21:22" ht="13.5">
      <c r="U390" s="78">
        <v>19000000</v>
      </c>
      <c r="V390" s="78">
        <v>0.38</v>
      </c>
    </row>
    <row r="391" spans="21:22" ht="13.5">
      <c r="U391" s="78">
        <v>19050000</v>
      </c>
      <c r="V391" s="78">
        <v>0.38</v>
      </c>
    </row>
    <row r="392" spans="21:22" ht="13.5">
      <c r="U392" s="78">
        <v>19100000</v>
      </c>
      <c r="V392" s="78">
        <v>0.38</v>
      </c>
    </row>
    <row r="393" spans="21:22" ht="13.5">
      <c r="U393" s="78">
        <v>19150000</v>
      </c>
      <c r="V393" s="78">
        <v>0.38</v>
      </c>
    </row>
    <row r="394" spans="21:22" ht="13.5">
      <c r="U394" s="78">
        <v>19200000</v>
      </c>
      <c r="V394" s="78">
        <v>0.38</v>
      </c>
    </row>
    <row r="395" spans="21:22" ht="13.5">
      <c r="U395" s="78">
        <v>19250000</v>
      </c>
      <c r="V395" s="78">
        <v>0.38</v>
      </c>
    </row>
    <row r="396" spans="21:22" ht="13.5">
      <c r="U396" s="78">
        <v>19300000</v>
      </c>
      <c r="V396" s="78">
        <v>0.38</v>
      </c>
    </row>
    <row r="397" spans="21:22" ht="13.5">
      <c r="U397" s="78">
        <v>19350000</v>
      </c>
      <c r="V397" s="78">
        <v>0.38</v>
      </c>
    </row>
    <row r="398" spans="21:22" ht="13.5">
      <c r="U398" s="78">
        <v>19400000</v>
      </c>
      <c r="V398" s="78">
        <v>0.38</v>
      </c>
    </row>
    <row r="399" spans="21:22" ht="13.5">
      <c r="U399" s="78">
        <v>19450000</v>
      </c>
      <c r="V399" s="78">
        <v>0.38</v>
      </c>
    </row>
    <row r="400" spans="21:22" ht="13.5">
      <c r="U400" s="78">
        <v>19500000</v>
      </c>
      <c r="V400" s="78">
        <v>0.38</v>
      </c>
    </row>
    <row r="401" spans="21:22" ht="13.5">
      <c r="U401" s="78">
        <v>19550000</v>
      </c>
      <c r="V401" s="78">
        <v>0.38</v>
      </c>
    </row>
    <row r="402" spans="21:22" ht="13.5">
      <c r="U402" s="78">
        <v>19600000</v>
      </c>
      <c r="V402" s="78">
        <v>0.38</v>
      </c>
    </row>
    <row r="403" spans="21:22" ht="13.5">
      <c r="U403" s="78">
        <v>19650000</v>
      </c>
      <c r="V403" s="78">
        <v>0.38</v>
      </c>
    </row>
    <row r="404" spans="21:22" ht="13.5">
      <c r="U404" s="78">
        <v>19700000</v>
      </c>
      <c r="V404" s="78">
        <v>0.38</v>
      </c>
    </row>
    <row r="405" spans="21:22" ht="13.5">
      <c r="U405" s="78">
        <v>19750000</v>
      </c>
      <c r="V405" s="78">
        <v>0.38</v>
      </c>
    </row>
    <row r="406" spans="21:22" ht="13.5">
      <c r="U406" s="78">
        <v>19800000</v>
      </c>
      <c r="V406" s="78">
        <v>0.38</v>
      </c>
    </row>
    <row r="407" spans="21:22" ht="13.5">
      <c r="U407" s="78">
        <v>19850000</v>
      </c>
      <c r="V407" s="78">
        <v>0.38</v>
      </c>
    </row>
    <row r="408" spans="21:22" ht="13.5">
      <c r="U408" s="78">
        <v>19900000</v>
      </c>
      <c r="V408" s="78">
        <v>0.38</v>
      </c>
    </row>
    <row r="409" spans="21:22" ht="13.5">
      <c r="U409" s="78">
        <v>19950000</v>
      </c>
      <c r="V409" s="78">
        <v>0.38</v>
      </c>
    </row>
    <row r="410" spans="21:22" ht="13.5">
      <c r="U410" s="78">
        <v>20000000</v>
      </c>
      <c r="V410" s="78">
        <v>0.38</v>
      </c>
    </row>
    <row r="411" spans="21:22" ht="13.5">
      <c r="U411" s="180">
        <v>20050000</v>
      </c>
      <c r="V411" s="180">
        <v>0.338</v>
      </c>
    </row>
    <row r="412" spans="21:22" ht="13.5">
      <c r="U412" s="180">
        <v>20100000</v>
      </c>
      <c r="V412" s="180">
        <v>0.338</v>
      </c>
    </row>
    <row r="413" spans="21:22" ht="13.5">
      <c r="U413" s="180">
        <v>20150000</v>
      </c>
      <c r="V413" s="180">
        <v>0.338</v>
      </c>
    </row>
    <row r="414" spans="21:22" ht="13.5">
      <c r="U414" s="180">
        <v>20200000</v>
      </c>
      <c r="V414" s="180">
        <v>0.338</v>
      </c>
    </row>
    <row r="415" spans="21:22" ht="13.5">
      <c r="U415" s="180">
        <v>20250000</v>
      </c>
      <c r="V415" s="180">
        <v>0.338</v>
      </c>
    </row>
    <row r="416" spans="21:22" ht="13.5">
      <c r="U416" s="180">
        <v>20300000</v>
      </c>
      <c r="V416" s="180">
        <v>0.338</v>
      </c>
    </row>
    <row r="417" spans="21:22" ht="13.5">
      <c r="U417" s="180">
        <v>20350000</v>
      </c>
      <c r="V417" s="180">
        <v>0.338</v>
      </c>
    </row>
    <row r="418" spans="21:22" ht="13.5">
      <c r="U418" s="180">
        <v>20400000</v>
      </c>
      <c r="V418" s="180">
        <v>0.338</v>
      </c>
    </row>
    <row r="419" spans="21:22" ht="13.5">
      <c r="U419" s="180">
        <v>20450000</v>
      </c>
      <c r="V419" s="180">
        <v>0.338</v>
      </c>
    </row>
    <row r="420" spans="21:22" ht="13.5">
      <c r="U420" s="180">
        <v>20500000</v>
      </c>
      <c r="V420" s="180">
        <v>0.338</v>
      </c>
    </row>
    <row r="421" spans="21:22" ht="13.5">
      <c r="U421" s="180">
        <v>20550000</v>
      </c>
      <c r="V421" s="180">
        <v>0.338</v>
      </c>
    </row>
    <row r="422" spans="21:22" ht="13.5">
      <c r="U422" s="180">
        <v>20600000</v>
      </c>
      <c r="V422" s="180">
        <v>0.338</v>
      </c>
    </row>
    <row r="423" spans="21:22" ht="13.5">
      <c r="U423" s="180">
        <v>20650000</v>
      </c>
      <c r="V423" s="180">
        <v>0.337</v>
      </c>
    </row>
    <row r="424" spans="21:22" ht="13.5">
      <c r="U424" s="180">
        <v>20700000</v>
      </c>
      <c r="V424" s="180">
        <v>0.337</v>
      </c>
    </row>
    <row r="425" spans="21:22" ht="13.5">
      <c r="U425" s="180">
        <v>20750000</v>
      </c>
      <c r="V425" s="180">
        <v>0.337</v>
      </c>
    </row>
    <row r="426" spans="21:22" ht="13.5">
      <c r="U426" s="180">
        <v>20800000</v>
      </c>
      <c r="V426" s="180">
        <v>0.337</v>
      </c>
    </row>
    <row r="427" spans="21:22" ht="13.5">
      <c r="U427" s="180">
        <v>20850000</v>
      </c>
      <c r="V427" s="180">
        <v>0.337</v>
      </c>
    </row>
    <row r="428" spans="21:22" ht="13.5">
      <c r="U428" s="180">
        <v>20900000</v>
      </c>
      <c r="V428" s="180">
        <v>0.337</v>
      </c>
    </row>
    <row r="429" spans="21:22" ht="13.5">
      <c r="U429" s="180">
        <v>20950000</v>
      </c>
      <c r="V429" s="180">
        <v>0.337</v>
      </c>
    </row>
    <row r="430" spans="21:22" ht="13.5">
      <c r="U430" s="180">
        <v>21000000</v>
      </c>
      <c r="V430" s="180">
        <v>0.337</v>
      </c>
    </row>
    <row r="431" spans="21:22" ht="13.5">
      <c r="U431" s="180">
        <v>21050000</v>
      </c>
      <c r="V431" s="180">
        <v>0.337</v>
      </c>
    </row>
    <row r="432" spans="21:22" ht="13.5">
      <c r="U432" s="180">
        <v>21100000</v>
      </c>
      <c r="V432" s="180">
        <v>0.337</v>
      </c>
    </row>
    <row r="433" spans="21:22" ht="13.5">
      <c r="U433" s="180">
        <v>21150000</v>
      </c>
      <c r="V433" s="180">
        <v>0.337</v>
      </c>
    </row>
    <row r="434" spans="21:22" ht="13.5">
      <c r="U434" s="180">
        <v>21200000</v>
      </c>
      <c r="V434" s="180">
        <v>0.337</v>
      </c>
    </row>
    <row r="435" spans="21:22" ht="13.5">
      <c r="U435" s="180">
        <v>21250000</v>
      </c>
      <c r="V435" s="180">
        <v>0.337</v>
      </c>
    </row>
    <row r="436" spans="21:22" ht="13.5">
      <c r="U436" s="180">
        <v>21300000</v>
      </c>
      <c r="V436" s="180">
        <v>0.337</v>
      </c>
    </row>
    <row r="437" spans="21:22" ht="13.5">
      <c r="U437" s="180">
        <v>21350000</v>
      </c>
      <c r="V437" s="180">
        <v>0.337</v>
      </c>
    </row>
    <row r="438" spans="21:22" ht="13.5">
      <c r="U438" s="180">
        <v>21400000</v>
      </c>
      <c r="V438" s="180">
        <v>0.337</v>
      </c>
    </row>
    <row r="439" spans="21:22" ht="13.5">
      <c r="U439" s="180">
        <v>21450000</v>
      </c>
      <c r="V439" s="180">
        <v>0.337</v>
      </c>
    </row>
    <row r="440" spans="21:22" ht="13.5">
      <c r="U440" s="180">
        <v>21500000</v>
      </c>
      <c r="V440" s="180">
        <v>0.337</v>
      </c>
    </row>
  </sheetData>
  <sheetProtection/>
  <mergeCells count="23">
    <mergeCell ref="P1:S1"/>
    <mergeCell ref="O2:S2"/>
    <mergeCell ref="O3:S3"/>
    <mergeCell ref="O4:S4"/>
    <mergeCell ref="M11:O11"/>
    <mergeCell ref="Q11:S11"/>
    <mergeCell ref="P6:S6"/>
    <mergeCell ref="F13:F14"/>
    <mergeCell ref="C15:D15"/>
    <mergeCell ref="C12:D12"/>
    <mergeCell ref="C13:D13"/>
    <mergeCell ref="C14:D14"/>
    <mergeCell ref="C11:D11"/>
    <mergeCell ref="F10:F11"/>
    <mergeCell ref="F2:F3"/>
    <mergeCell ref="F5:F7"/>
    <mergeCell ref="C6:D6"/>
    <mergeCell ref="C8:D8"/>
    <mergeCell ref="C10:D10"/>
    <mergeCell ref="O7:S7"/>
    <mergeCell ref="O8:S8"/>
    <mergeCell ref="O9:S9"/>
    <mergeCell ref="C9:D9"/>
  </mergeCells>
  <dataValidations count="1">
    <dataValidation type="list" allowBlank="1" showInputMessage="1" showErrorMessage="1" sqref="C9:D10">
      <formula1>"0,1,2,3"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6.57421875" style="0" bestFit="1" customWidth="1"/>
    <col min="3" max="3" width="20.421875" style="0" bestFit="1" customWidth="1"/>
    <col min="5" max="5" width="15.421875" style="0" bestFit="1" customWidth="1"/>
    <col min="6" max="6" width="6.57421875" style="0" bestFit="1" customWidth="1"/>
    <col min="7" max="7" width="20.421875" style="0" bestFit="1" customWidth="1"/>
  </cols>
  <sheetData>
    <row r="1" spans="1:5" ht="13.5">
      <c r="A1" s="255"/>
      <c r="B1" s="255"/>
      <c r="C1" s="255"/>
      <c r="D1" s="255"/>
      <c r="E1" s="255"/>
    </row>
    <row r="2" spans="1:6" ht="16.5">
      <c r="A2" s="255"/>
      <c r="B2" s="580" t="s">
        <v>481</v>
      </c>
      <c r="C2" s="580"/>
      <c r="D2" s="580"/>
      <c r="E2" s="582">
        <v>3000000</v>
      </c>
      <c r="F2" s="582"/>
    </row>
    <row r="3" spans="1:6" ht="16.5">
      <c r="A3" s="255"/>
      <c r="B3" s="580" t="s">
        <v>482</v>
      </c>
      <c r="C3" s="580"/>
      <c r="D3" s="580"/>
      <c r="E3" s="583">
        <v>0.03</v>
      </c>
      <c r="F3" s="583"/>
    </row>
    <row r="4" spans="1:6" ht="16.5">
      <c r="A4" s="255"/>
      <c r="B4" s="580" t="s">
        <v>483</v>
      </c>
      <c r="C4" s="580"/>
      <c r="D4" s="580"/>
      <c r="E4" s="584">
        <v>10</v>
      </c>
      <c r="F4" s="584"/>
    </row>
    <row r="5" spans="1:5" ht="14.25">
      <c r="A5" s="255"/>
      <c r="B5" s="271"/>
      <c r="C5" s="271"/>
      <c r="D5" s="271"/>
      <c r="E5" s="271"/>
    </row>
    <row r="6" spans="1:6" ht="13.5" customHeight="1">
      <c r="A6" s="255"/>
      <c r="B6" s="581" t="s">
        <v>484</v>
      </c>
      <c r="C6" s="581"/>
      <c r="D6" s="556">
        <f>ROUNDDOWN(E2/(1+E3)^E4,0)</f>
        <v>2232281</v>
      </c>
      <c r="E6" s="557"/>
      <c r="F6" s="558"/>
    </row>
    <row r="7" spans="1:6" ht="13.5" customHeight="1">
      <c r="A7" s="255"/>
      <c r="B7" s="581"/>
      <c r="C7" s="581"/>
      <c r="D7" s="559"/>
      <c r="E7" s="560"/>
      <c r="F7" s="561"/>
    </row>
    <row r="8" spans="1:5" ht="14.25">
      <c r="A8" s="255"/>
      <c r="B8" s="271"/>
      <c r="C8" s="271"/>
      <c r="D8" s="271"/>
      <c r="E8" s="271"/>
    </row>
    <row r="9" spans="1:6" ht="13.5" customHeight="1">
      <c r="A9" s="255"/>
      <c r="B9" s="562" t="s">
        <v>491</v>
      </c>
      <c r="C9" s="562"/>
      <c r="D9" s="562"/>
      <c r="E9" s="562"/>
      <c r="F9" s="562"/>
    </row>
    <row r="10" spans="1:6" ht="13.5" customHeight="1">
      <c r="A10" s="255"/>
      <c r="B10" s="562"/>
      <c r="C10" s="562"/>
      <c r="D10" s="562"/>
      <c r="E10" s="562"/>
      <c r="F10" s="562"/>
    </row>
    <row r="11" spans="1:6" s="128" customFormat="1" ht="14.25">
      <c r="A11" s="281"/>
      <c r="B11" s="279"/>
      <c r="C11" s="279"/>
      <c r="D11" s="279"/>
      <c r="E11" s="279"/>
      <c r="F11" s="280"/>
    </row>
    <row r="12" spans="1:6" ht="14.25">
      <c r="A12" s="255"/>
      <c r="B12" s="563" t="s">
        <v>485</v>
      </c>
      <c r="C12" s="564"/>
      <c r="D12" s="564"/>
      <c r="E12" s="564"/>
      <c r="F12" s="565"/>
    </row>
    <row r="13" spans="1:6" ht="14.25">
      <c r="A13" s="255"/>
      <c r="B13" s="566" t="s">
        <v>486</v>
      </c>
      <c r="C13" s="567"/>
      <c r="D13" s="567"/>
      <c r="E13" s="567"/>
      <c r="F13" s="568"/>
    </row>
    <row r="14" spans="1:6" ht="14.25">
      <c r="A14" s="255"/>
      <c r="B14" s="569" t="s">
        <v>487</v>
      </c>
      <c r="C14" s="570"/>
      <c r="D14" s="570"/>
      <c r="E14" s="570"/>
      <c r="F14" s="571"/>
    </row>
    <row r="15" spans="1:5" ht="15" thickBot="1">
      <c r="A15" s="255"/>
      <c r="B15" s="271"/>
      <c r="C15" s="271"/>
      <c r="D15" s="271"/>
      <c r="E15" s="271"/>
    </row>
    <row r="16" spans="1:5" ht="13.5">
      <c r="A16" s="255"/>
      <c r="B16" s="585" t="s">
        <v>488</v>
      </c>
      <c r="C16" s="586"/>
      <c r="D16" s="572">
        <f>E2</f>
        <v>3000000</v>
      </c>
      <c r="E16" s="573"/>
    </row>
    <row r="17" spans="1:5" ht="14.25" thickBot="1">
      <c r="A17" s="255"/>
      <c r="B17" s="587"/>
      <c r="C17" s="588"/>
      <c r="D17" s="574"/>
      <c r="E17" s="575"/>
    </row>
    <row r="18" spans="1:9" ht="14.25">
      <c r="A18" s="255"/>
      <c r="B18" s="576" t="s">
        <v>489</v>
      </c>
      <c r="C18" s="272" t="s">
        <v>490</v>
      </c>
      <c r="D18" s="550" t="s">
        <v>484</v>
      </c>
      <c r="E18" s="551"/>
      <c r="F18" s="576" t="s">
        <v>489</v>
      </c>
      <c r="G18" s="272" t="s">
        <v>490</v>
      </c>
      <c r="H18" s="550" t="s">
        <v>484</v>
      </c>
      <c r="I18" s="551"/>
    </row>
    <row r="19" spans="1:9" ht="15" thickBot="1">
      <c r="A19" s="255"/>
      <c r="B19" s="577"/>
      <c r="C19" s="273">
        <f>$E$3</f>
        <v>0.03</v>
      </c>
      <c r="D19" s="552"/>
      <c r="E19" s="553"/>
      <c r="F19" s="577"/>
      <c r="G19" s="273">
        <f>$E$3</f>
        <v>0.03</v>
      </c>
      <c r="H19" s="552"/>
      <c r="I19" s="553"/>
    </row>
    <row r="20" spans="1:9" ht="16.5">
      <c r="A20" s="255"/>
      <c r="B20" s="274">
        <v>1</v>
      </c>
      <c r="C20" s="275">
        <f aca="true" t="shared" si="0" ref="C20:C39">ROUNDDOWN(D20/$E$4,4)</f>
        <v>291262.1</v>
      </c>
      <c r="D20" s="578">
        <f aca="true" t="shared" si="1" ref="D20:D39">ROUNDDOWN($E$2/(1+$E$3)^B20,0)</f>
        <v>2912621</v>
      </c>
      <c r="E20" s="579"/>
      <c r="F20" s="276">
        <v>21</v>
      </c>
      <c r="G20" s="277">
        <f aca="true" t="shared" si="2" ref="G20:G39">ROUNDDOWN(H20/$E$4,4)</f>
        <v>161264.7</v>
      </c>
      <c r="H20" s="554">
        <f aca="true" t="shared" si="3" ref="H20:H39">ROUNDDOWN($E$2/(1+$E$3)^F20,0)</f>
        <v>1612647</v>
      </c>
      <c r="I20" s="555"/>
    </row>
    <row r="21" spans="1:9" ht="16.5">
      <c r="A21" s="255"/>
      <c r="B21" s="276">
        <v>2</v>
      </c>
      <c r="C21" s="277">
        <f t="shared" si="0"/>
        <v>282778.7</v>
      </c>
      <c r="D21" s="554">
        <f t="shared" si="1"/>
        <v>2827787</v>
      </c>
      <c r="E21" s="555"/>
      <c r="F21" s="276">
        <v>22</v>
      </c>
      <c r="G21" s="277">
        <f t="shared" si="2"/>
        <v>156567.7</v>
      </c>
      <c r="H21" s="554">
        <f t="shared" si="3"/>
        <v>1565677</v>
      </c>
      <c r="I21" s="555"/>
    </row>
    <row r="22" spans="1:9" ht="16.5">
      <c r="A22" s="255"/>
      <c r="B22" s="276">
        <v>3</v>
      </c>
      <c r="C22" s="277">
        <f t="shared" si="0"/>
        <v>274542.4</v>
      </c>
      <c r="D22" s="554">
        <f t="shared" si="1"/>
        <v>2745424</v>
      </c>
      <c r="E22" s="555"/>
      <c r="F22" s="276">
        <v>23</v>
      </c>
      <c r="G22" s="277">
        <f t="shared" si="2"/>
        <v>152007.5</v>
      </c>
      <c r="H22" s="554">
        <f t="shared" si="3"/>
        <v>1520075</v>
      </c>
      <c r="I22" s="555"/>
    </row>
    <row r="23" spans="1:9" ht="16.5">
      <c r="A23" s="255"/>
      <c r="B23" s="276">
        <v>4</v>
      </c>
      <c r="C23" s="277">
        <f t="shared" si="0"/>
        <v>266546.1</v>
      </c>
      <c r="D23" s="554">
        <f t="shared" si="1"/>
        <v>2665461</v>
      </c>
      <c r="E23" s="555"/>
      <c r="F23" s="276">
        <v>24</v>
      </c>
      <c r="G23" s="277">
        <f t="shared" si="2"/>
        <v>147580.1</v>
      </c>
      <c r="H23" s="554">
        <f t="shared" si="3"/>
        <v>1475801</v>
      </c>
      <c r="I23" s="555"/>
    </row>
    <row r="24" spans="1:9" ht="16.5">
      <c r="A24" s="255"/>
      <c r="B24" s="276">
        <v>5</v>
      </c>
      <c r="C24" s="277">
        <f t="shared" si="0"/>
        <v>258782.6</v>
      </c>
      <c r="D24" s="554">
        <f t="shared" si="1"/>
        <v>2587826</v>
      </c>
      <c r="E24" s="555"/>
      <c r="F24" s="276">
        <v>25</v>
      </c>
      <c r="G24" s="277">
        <f t="shared" si="2"/>
        <v>143281.6</v>
      </c>
      <c r="H24" s="554">
        <f t="shared" si="3"/>
        <v>1432816</v>
      </c>
      <c r="I24" s="555"/>
    </row>
    <row r="25" spans="1:9" ht="16.5">
      <c r="A25" s="255"/>
      <c r="B25" s="276">
        <v>6</v>
      </c>
      <c r="C25" s="277">
        <f t="shared" si="0"/>
        <v>251245.2</v>
      </c>
      <c r="D25" s="554">
        <f t="shared" si="1"/>
        <v>2512452</v>
      </c>
      <c r="E25" s="555"/>
      <c r="F25" s="276">
        <v>26</v>
      </c>
      <c r="G25" s="277">
        <f t="shared" si="2"/>
        <v>139108.4</v>
      </c>
      <c r="H25" s="554">
        <f t="shared" si="3"/>
        <v>1391084</v>
      </c>
      <c r="I25" s="555"/>
    </row>
    <row r="26" spans="1:9" ht="16.5">
      <c r="A26" s="255"/>
      <c r="B26" s="276">
        <v>7</v>
      </c>
      <c r="C26" s="277">
        <f t="shared" si="0"/>
        <v>243927.4</v>
      </c>
      <c r="D26" s="554">
        <f t="shared" si="1"/>
        <v>2439274</v>
      </c>
      <c r="E26" s="555"/>
      <c r="F26" s="276">
        <v>27</v>
      </c>
      <c r="G26" s="277">
        <f t="shared" si="2"/>
        <v>135056.7</v>
      </c>
      <c r="H26" s="554">
        <f t="shared" si="3"/>
        <v>1350567</v>
      </c>
      <c r="I26" s="555"/>
    </row>
    <row r="27" spans="1:9" ht="16.5">
      <c r="A27" s="255"/>
      <c r="B27" s="276">
        <v>8</v>
      </c>
      <c r="C27" s="277">
        <f t="shared" si="0"/>
        <v>236822.7</v>
      </c>
      <c r="D27" s="554">
        <f t="shared" si="1"/>
        <v>2368227</v>
      </c>
      <c r="E27" s="555"/>
      <c r="F27" s="276">
        <v>28</v>
      </c>
      <c r="G27" s="277">
        <f t="shared" si="2"/>
        <v>131123</v>
      </c>
      <c r="H27" s="554">
        <f t="shared" si="3"/>
        <v>1311230</v>
      </c>
      <c r="I27" s="555"/>
    </row>
    <row r="28" spans="1:9" ht="16.5">
      <c r="A28" s="255"/>
      <c r="B28" s="276">
        <v>9</v>
      </c>
      <c r="C28" s="277">
        <f t="shared" si="0"/>
        <v>229925</v>
      </c>
      <c r="D28" s="554">
        <f t="shared" si="1"/>
        <v>2299250</v>
      </c>
      <c r="E28" s="555"/>
      <c r="F28" s="276">
        <v>29</v>
      </c>
      <c r="G28" s="277">
        <f t="shared" si="2"/>
        <v>127303.9</v>
      </c>
      <c r="H28" s="554">
        <f t="shared" si="3"/>
        <v>1273039</v>
      </c>
      <c r="I28" s="555"/>
    </row>
    <row r="29" spans="1:9" ht="16.5">
      <c r="A29" s="255"/>
      <c r="B29" s="276">
        <v>10</v>
      </c>
      <c r="C29" s="277">
        <f t="shared" si="0"/>
        <v>223228.1</v>
      </c>
      <c r="D29" s="554">
        <f t="shared" si="1"/>
        <v>2232281</v>
      </c>
      <c r="E29" s="555"/>
      <c r="F29" s="276">
        <v>30</v>
      </c>
      <c r="G29" s="277">
        <f t="shared" si="2"/>
        <v>123596</v>
      </c>
      <c r="H29" s="554">
        <f t="shared" si="3"/>
        <v>1235960</v>
      </c>
      <c r="I29" s="555"/>
    </row>
    <row r="30" spans="1:9" ht="16.5">
      <c r="A30" s="255"/>
      <c r="B30" s="276">
        <v>11</v>
      </c>
      <c r="C30" s="277">
        <f t="shared" si="0"/>
        <v>216726.3</v>
      </c>
      <c r="D30" s="554">
        <f t="shared" si="1"/>
        <v>2167263</v>
      </c>
      <c r="E30" s="555"/>
      <c r="F30" s="276">
        <v>31</v>
      </c>
      <c r="G30" s="277">
        <f t="shared" si="2"/>
        <v>119996.1</v>
      </c>
      <c r="H30" s="554">
        <f t="shared" si="3"/>
        <v>1199961</v>
      </c>
      <c r="I30" s="555"/>
    </row>
    <row r="31" spans="1:9" ht="16.5">
      <c r="A31" s="255"/>
      <c r="B31" s="276">
        <v>12</v>
      </c>
      <c r="C31" s="277">
        <f t="shared" si="0"/>
        <v>210413.9</v>
      </c>
      <c r="D31" s="554">
        <f t="shared" si="1"/>
        <v>2104139</v>
      </c>
      <c r="E31" s="555"/>
      <c r="F31" s="276">
        <v>32</v>
      </c>
      <c r="G31" s="277">
        <f t="shared" si="2"/>
        <v>116501.1</v>
      </c>
      <c r="H31" s="554">
        <f t="shared" si="3"/>
        <v>1165011</v>
      </c>
      <c r="I31" s="555"/>
    </row>
    <row r="32" spans="1:9" ht="16.5">
      <c r="A32" s="255"/>
      <c r="B32" s="276">
        <v>13</v>
      </c>
      <c r="C32" s="277">
        <f t="shared" si="0"/>
        <v>204285.4</v>
      </c>
      <c r="D32" s="554">
        <f t="shared" si="1"/>
        <v>2042854</v>
      </c>
      <c r="E32" s="555"/>
      <c r="F32" s="276">
        <v>33</v>
      </c>
      <c r="G32" s="277">
        <f t="shared" si="2"/>
        <v>113107.8</v>
      </c>
      <c r="H32" s="554">
        <f t="shared" si="3"/>
        <v>1131078</v>
      </c>
      <c r="I32" s="555"/>
    </row>
    <row r="33" spans="1:9" ht="16.5">
      <c r="A33" s="255"/>
      <c r="B33" s="276">
        <v>14</v>
      </c>
      <c r="C33" s="277">
        <f t="shared" si="0"/>
        <v>198335.3</v>
      </c>
      <c r="D33" s="554">
        <f t="shared" si="1"/>
        <v>1983353</v>
      </c>
      <c r="E33" s="555"/>
      <c r="F33" s="276">
        <v>34</v>
      </c>
      <c r="G33" s="277">
        <f t="shared" si="2"/>
        <v>109813.4</v>
      </c>
      <c r="H33" s="554">
        <f t="shared" si="3"/>
        <v>1098134</v>
      </c>
      <c r="I33" s="555"/>
    </row>
    <row r="34" spans="1:9" ht="16.5">
      <c r="A34" s="255"/>
      <c r="B34" s="276">
        <v>15</v>
      </c>
      <c r="C34" s="277">
        <f t="shared" si="0"/>
        <v>192558.5</v>
      </c>
      <c r="D34" s="554">
        <f t="shared" si="1"/>
        <v>1925585</v>
      </c>
      <c r="E34" s="555"/>
      <c r="F34" s="276">
        <v>35</v>
      </c>
      <c r="G34" s="277">
        <f t="shared" si="2"/>
        <v>106615</v>
      </c>
      <c r="H34" s="554">
        <f t="shared" si="3"/>
        <v>1066150</v>
      </c>
      <c r="I34" s="555"/>
    </row>
    <row r="35" spans="1:9" ht="16.5">
      <c r="A35" s="255"/>
      <c r="B35" s="276">
        <v>16</v>
      </c>
      <c r="C35" s="277">
        <f t="shared" si="0"/>
        <v>186950</v>
      </c>
      <c r="D35" s="554">
        <f t="shared" si="1"/>
        <v>1869500</v>
      </c>
      <c r="E35" s="555"/>
      <c r="F35" s="276">
        <v>36</v>
      </c>
      <c r="G35" s="277">
        <f t="shared" si="2"/>
        <v>103509.7</v>
      </c>
      <c r="H35" s="554">
        <f t="shared" si="3"/>
        <v>1035097</v>
      </c>
      <c r="I35" s="555"/>
    </row>
    <row r="36" spans="1:9" ht="16.5">
      <c r="A36" s="255"/>
      <c r="B36" s="276">
        <v>17</v>
      </c>
      <c r="C36" s="277">
        <f t="shared" si="0"/>
        <v>181504.9</v>
      </c>
      <c r="D36" s="554">
        <f t="shared" si="1"/>
        <v>1815049</v>
      </c>
      <c r="E36" s="555"/>
      <c r="F36" s="276">
        <v>37</v>
      </c>
      <c r="G36" s="277">
        <f t="shared" si="2"/>
        <v>100494.8</v>
      </c>
      <c r="H36" s="554">
        <f t="shared" si="3"/>
        <v>1004948</v>
      </c>
      <c r="I36" s="555"/>
    </row>
    <row r="37" spans="1:9" ht="16.5">
      <c r="A37" s="255"/>
      <c r="B37" s="276">
        <v>18</v>
      </c>
      <c r="C37" s="277">
        <f t="shared" si="0"/>
        <v>176218.3</v>
      </c>
      <c r="D37" s="554">
        <f t="shared" si="1"/>
        <v>1762183</v>
      </c>
      <c r="E37" s="555"/>
      <c r="F37" s="276">
        <v>38</v>
      </c>
      <c r="G37" s="277">
        <f t="shared" si="2"/>
        <v>97567.8</v>
      </c>
      <c r="H37" s="554">
        <f t="shared" si="3"/>
        <v>975678</v>
      </c>
      <c r="I37" s="555"/>
    </row>
    <row r="38" spans="1:9" ht="16.5">
      <c r="A38" s="255"/>
      <c r="B38" s="276">
        <v>19</v>
      </c>
      <c r="C38" s="277">
        <f t="shared" si="0"/>
        <v>171085.8</v>
      </c>
      <c r="D38" s="554">
        <f t="shared" si="1"/>
        <v>1710858</v>
      </c>
      <c r="E38" s="555"/>
      <c r="F38" s="276">
        <v>39</v>
      </c>
      <c r="G38" s="277">
        <f t="shared" si="2"/>
        <v>94726</v>
      </c>
      <c r="H38" s="554">
        <f t="shared" si="3"/>
        <v>947260</v>
      </c>
      <c r="I38" s="555"/>
    </row>
    <row r="39" spans="1:9" ht="17.25" thickBot="1">
      <c r="A39" s="255"/>
      <c r="B39" s="276">
        <v>20</v>
      </c>
      <c r="C39" s="277">
        <f t="shared" si="0"/>
        <v>166102.7</v>
      </c>
      <c r="D39" s="554">
        <f t="shared" si="1"/>
        <v>1661027</v>
      </c>
      <c r="E39" s="555"/>
      <c r="F39" s="278">
        <v>40</v>
      </c>
      <c r="G39" s="277">
        <f t="shared" si="2"/>
        <v>91967</v>
      </c>
      <c r="H39" s="554">
        <f t="shared" si="3"/>
        <v>919670</v>
      </c>
      <c r="I39" s="555"/>
    </row>
    <row r="40" spans="1:5" ht="13.5">
      <c r="A40" s="255"/>
      <c r="B40" s="255"/>
      <c r="C40" s="255"/>
      <c r="D40" s="255"/>
      <c r="E40" s="255"/>
    </row>
    <row r="41" spans="1:5" ht="13.5">
      <c r="A41" s="255"/>
      <c r="B41" s="255"/>
      <c r="C41" s="255"/>
      <c r="D41" s="255"/>
      <c r="E41" s="255"/>
    </row>
    <row r="42" spans="1:5" ht="13.5">
      <c r="A42" s="255"/>
      <c r="B42" s="255"/>
      <c r="C42" s="255"/>
      <c r="D42" s="255"/>
      <c r="E42" s="255"/>
    </row>
    <row r="43" spans="1:5" ht="13.5">
      <c r="A43" s="255"/>
      <c r="B43" s="255"/>
      <c r="C43" s="255"/>
      <c r="D43" s="255"/>
      <c r="E43" s="255"/>
    </row>
    <row r="44" spans="1:5" ht="13.5">
      <c r="A44" s="255"/>
      <c r="B44" s="255"/>
      <c r="C44" s="255"/>
      <c r="D44" s="255"/>
      <c r="E44" s="255"/>
    </row>
    <row r="45" spans="1:5" ht="13.5">
      <c r="A45" s="255"/>
      <c r="B45" s="255"/>
      <c r="C45" s="255"/>
      <c r="D45" s="255"/>
      <c r="E45" s="255"/>
    </row>
    <row r="46" spans="1:5" ht="13.5">
      <c r="A46" s="255"/>
      <c r="B46" s="255"/>
      <c r="C46" s="255"/>
      <c r="D46" s="255"/>
      <c r="E46" s="255"/>
    </row>
    <row r="47" spans="1:5" ht="13.5">
      <c r="A47" s="255"/>
      <c r="B47" s="255"/>
      <c r="C47" s="255"/>
      <c r="D47" s="255"/>
      <c r="E47" s="255"/>
    </row>
    <row r="48" spans="1:5" ht="13.5">
      <c r="A48" s="255"/>
      <c r="B48" s="255"/>
      <c r="C48" s="255"/>
      <c r="D48" s="255"/>
      <c r="E48" s="255"/>
    </row>
    <row r="49" spans="1:5" ht="13.5">
      <c r="A49" s="255"/>
      <c r="B49" s="255"/>
      <c r="C49" s="255"/>
      <c r="D49" s="255"/>
      <c r="E49" s="255"/>
    </row>
    <row r="50" spans="1:5" ht="13.5">
      <c r="A50" s="255"/>
      <c r="B50" s="255"/>
      <c r="C50" s="255"/>
      <c r="D50" s="255"/>
      <c r="E50" s="255"/>
    </row>
    <row r="51" spans="1:5" ht="13.5">
      <c r="A51" s="255"/>
      <c r="B51" s="255"/>
      <c r="C51" s="255"/>
      <c r="D51" s="255"/>
      <c r="E51" s="255"/>
    </row>
    <row r="52" spans="1:5" ht="13.5">
      <c r="A52" s="255"/>
      <c r="B52" s="255"/>
      <c r="C52" s="255"/>
      <c r="D52" s="255"/>
      <c r="E52" s="255"/>
    </row>
    <row r="53" spans="1:5" ht="13.5">
      <c r="A53" s="255"/>
      <c r="B53" s="255"/>
      <c r="C53" s="255"/>
      <c r="D53" s="255"/>
      <c r="E53" s="255"/>
    </row>
    <row r="54" spans="1:5" ht="13.5">
      <c r="A54" s="255"/>
      <c r="B54" s="255"/>
      <c r="C54" s="255"/>
      <c r="D54" s="255"/>
      <c r="E54" s="255"/>
    </row>
    <row r="55" spans="1:5" ht="13.5">
      <c r="A55" s="255"/>
      <c r="B55" s="255"/>
      <c r="C55" s="255"/>
      <c r="D55" s="255"/>
      <c r="E55" s="255"/>
    </row>
    <row r="56" spans="1:5" ht="13.5">
      <c r="A56" s="255"/>
      <c r="B56" s="255"/>
      <c r="C56" s="255"/>
      <c r="D56" s="255"/>
      <c r="E56" s="255"/>
    </row>
    <row r="57" spans="1:5" ht="13.5">
      <c r="A57" s="255"/>
      <c r="B57" s="255"/>
      <c r="C57" s="255"/>
      <c r="D57" s="255"/>
      <c r="E57" s="255"/>
    </row>
    <row r="58" spans="1:5" ht="13.5">
      <c r="A58" s="255"/>
      <c r="B58" s="255"/>
      <c r="C58" s="255"/>
      <c r="D58" s="255"/>
      <c r="E58" s="255"/>
    </row>
    <row r="59" spans="1:5" ht="13.5">
      <c r="A59" s="255"/>
      <c r="B59" s="255"/>
      <c r="C59" s="255"/>
      <c r="D59" s="255"/>
      <c r="E59" s="255"/>
    </row>
    <row r="60" spans="2:5" ht="14.25">
      <c r="B60" s="270"/>
      <c r="C60" s="270"/>
      <c r="D60" s="270"/>
      <c r="E60" s="270"/>
    </row>
  </sheetData>
  <sheetProtection/>
  <mergeCells count="58">
    <mergeCell ref="B2:D2"/>
    <mergeCell ref="B3:D3"/>
    <mergeCell ref="B4:D4"/>
    <mergeCell ref="B6:C7"/>
    <mergeCell ref="E2:F2"/>
    <mergeCell ref="F18:F19"/>
    <mergeCell ref="E3:F3"/>
    <mergeCell ref="E4:F4"/>
    <mergeCell ref="B16:C17"/>
    <mergeCell ref="D21:E21"/>
    <mergeCell ref="D22:E22"/>
    <mergeCell ref="D23:E23"/>
    <mergeCell ref="D16:E17"/>
    <mergeCell ref="B18:B19"/>
    <mergeCell ref="D18:E19"/>
    <mergeCell ref="D20:E20"/>
    <mergeCell ref="D24:E24"/>
    <mergeCell ref="D25:E25"/>
    <mergeCell ref="D26:E26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H30:I30"/>
    <mergeCell ref="D39:E39"/>
    <mergeCell ref="H20:I20"/>
    <mergeCell ref="H21:I21"/>
    <mergeCell ref="H22:I22"/>
    <mergeCell ref="H23:I23"/>
    <mergeCell ref="H24:I24"/>
    <mergeCell ref="D33:E33"/>
    <mergeCell ref="D34:E34"/>
    <mergeCell ref="D35:E35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18:I19"/>
    <mergeCell ref="H37:I37"/>
    <mergeCell ref="H38:I38"/>
    <mergeCell ref="H39:I39"/>
    <mergeCell ref="D6:F7"/>
    <mergeCell ref="B9:F10"/>
    <mergeCell ref="B12:F12"/>
    <mergeCell ref="B13:F13"/>
    <mergeCell ref="B14:F14"/>
    <mergeCell ref="H31:I31"/>
  </mergeCells>
  <printOptions/>
  <pageMargins left="0.5905511811023623" right="0.1968503937007874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広光 小竹</cp:lastModifiedBy>
  <cp:lastPrinted>2021-11-02T02:58:48Z</cp:lastPrinted>
  <dcterms:created xsi:type="dcterms:W3CDTF">2017-12-20T00:13:03Z</dcterms:created>
  <dcterms:modified xsi:type="dcterms:W3CDTF">2023-12-05T02:40:36Z</dcterms:modified>
  <cp:category/>
  <cp:version/>
  <cp:contentType/>
  <cp:contentStatus/>
</cp:coreProperties>
</file>